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an\Dropbox (Wall Street Prep)\Course Materials- WSP\Webinars\21 Restructuring\"/>
    </mc:Choice>
  </mc:AlternateContent>
  <bookViews>
    <workbookView xWindow="0" yWindow="0" windowWidth="20490" windowHeight="8820"/>
  </bookViews>
  <sheets>
    <sheet name="Sheet1" sheetId="1" r:id="rId1"/>
    <sheet name="Sheet2" sheetId="2" r:id="rId2"/>
  </sheets>
  <calcPr calcId="171027" calcMode="autoNoTable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2" i="1" l="1"/>
  <c r="D57" i="2" l="1"/>
  <c r="E51" i="2"/>
  <c r="F51" i="2" s="1"/>
  <c r="G51" i="2" s="1"/>
  <c r="H51" i="2" s="1"/>
  <c r="I51" i="2" s="1"/>
  <c r="E50" i="2"/>
  <c r="F50" i="2" s="1"/>
  <c r="G50" i="2" s="1"/>
  <c r="H50" i="2" s="1"/>
  <c r="I50" i="2" s="1"/>
  <c r="D46" i="2"/>
  <c r="D45" i="2"/>
  <c r="D47" i="2" s="1"/>
  <c r="E44" i="2"/>
  <c r="F43" i="2"/>
  <c r="G43" i="2" s="1"/>
  <c r="H43" i="2" s="1"/>
  <c r="I43" i="2" s="1"/>
  <c r="E43" i="2"/>
  <c r="L101" i="1"/>
  <c r="D38" i="2"/>
  <c r="D19" i="2"/>
  <c r="E32" i="2"/>
  <c r="F32" i="2" s="1"/>
  <c r="G32" i="2" s="1"/>
  <c r="H32" i="2" s="1"/>
  <c r="I32" i="2" s="1"/>
  <c r="E31" i="2"/>
  <c r="F31" i="2" s="1"/>
  <c r="G31" i="2" s="1"/>
  <c r="H31" i="2" s="1"/>
  <c r="I31" i="2" s="1"/>
  <c r="D27" i="2"/>
  <c r="D26" i="2"/>
  <c r="D28" i="2" s="1"/>
  <c r="E25" i="2"/>
  <c r="E27" i="2" s="1"/>
  <c r="F24" i="2"/>
  <c r="G24" i="2" s="1"/>
  <c r="H24" i="2" s="1"/>
  <c r="I24" i="2" s="1"/>
  <c r="E24" i="2"/>
  <c r="E13" i="2"/>
  <c r="F13" i="2" s="1"/>
  <c r="G13" i="2" s="1"/>
  <c r="H13" i="2" s="1"/>
  <c r="I13" i="2" s="1"/>
  <c r="E12" i="2"/>
  <c r="F12" i="2" s="1"/>
  <c r="G12" i="2" s="1"/>
  <c r="H12" i="2" s="1"/>
  <c r="I12" i="2" s="1"/>
  <c r="D8" i="2"/>
  <c r="D7" i="2"/>
  <c r="E6" i="2"/>
  <c r="F6" i="2" s="1"/>
  <c r="G6" i="2" s="1"/>
  <c r="H6" i="2" s="1"/>
  <c r="I6" i="2" s="1"/>
  <c r="E5" i="2"/>
  <c r="F5" i="2" s="1"/>
  <c r="G5" i="2" s="1"/>
  <c r="H5" i="2" s="1"/>
  <c r="I5" i="2" s="1"/>
  <c r="AA168" i="1"/>
  <c r="L150" i="1"/>
  <c r="S167" i="1"/>
  <c r="E45" i="2" l="1"/>
  <c r="E46" i="2"/>
  <c r="F44" i="2"/>
  <c r="F25" i="2"/>
  <c r="E26" i="2"/>
  <c r="E28" i="2" s="1"/>
  <c r="D9" i="2"/>
  <c r="I7" i="2"/>
  <c r="H8" i="2"/>
  <c r="E8" i="2"/>
  <c r="I8" i="2"/>
  <c r="F8" i="2"/>
  <c r="G8" i="2"/>
  <c r="F7" i="2"/>
  <c r="G7" i="2"/>
  <c r="H7" i="2"/>
  <c r="E7" i="2"/>
  <c r="AB171" i="1"/>
  <c r="X157" i="1"/>
  <c r="AA165" i="1"/>
  <c r="AA164" i="1"/>
  <c r="AA162" i="1"/>
  <c r="P150" i="1"/>
  <c r="V136" i="1"/>
  <c r="X128" i="1" s="1"/>
  <c r="P127" i="1"/>
  <c r="S114" i="1"/>
  <c r="S130" i="1" s="1"/>
  <c r="S113" i="1"/>
  <c r="S112" i="1"/>
  <c r="S111" i="1"/>
  <c r="P111" i="1"/>
  <c r="L118" i="1"/>
  <c r="L114" i="1"/>
  <c r="L113" i="1"/>
  <c r="L112" i="1"/>
  <c r="F118" i="1"/>
  <c r="F120" i="1" s="1"/>
  <c r="C114" i="1"/>
  <c r="C113" i="1"/>
  <c r="L111" i="1"/>
  <c r="I111" i="1"/>
  <c r="F111" i="1"/>
  <c r="F115" i="1" s="1"/>
  <c r="C111" i="1"/>
  <c r="C96" i="1"/>
  <c r="F101" i="1"/>
  <c r="F103" i="1" s="1"/>
  <c r="C97" i="1"/>
  <c r="L94" i="1"/>
  <c r="L98" i="1" s="1"/>
  <c r="I94" i="1"/>
  <c r="F94" i="1"/>
  <c r="F98" i="1" s="1"/>
  <c r="C94" i="1"/>
  <c r="L78" i="1"/>
  <c r="L81" i="1" s="1"/>
  <c r="L86" i="1" s="1"/>
  <c r="F78" i="1"/>
  <c r="F81" i="1" s="1"/>
  <c r="C81" i="1"/>
  <c r="F84" i="1"/>
  <c r="F86" i="1" s="1"/>
  <c r="I78" i="1"/>
  <c r="C78" i="1"/>
  <c r="F68" i="1"/>
  <c r="F70" i="1" s="1"/>
  <c r="L65" i="1"/>
  <c r="L70" i="1" s="1"/>
  <c r="F65" i="1"/>
  <c r="I62" i="1"/>
  <c r="C62" i="1"/>
  <c r="C66" i="1" s="1"/>
  <c r="L49" i="1"/>
  <c r="I46" i="1"/>
  <c r="F52" i="1"/>
  <c r="F54" i="1" s="1"/>
  <c r="C46" i="1"/>
  <c r="C50" i="1" s="1"/>
  <c r="F49" i="1"/>
  <c r="C34" i="1"/>
  <c r="F38" i="1"/>
  <c r="F33" i="1"/>
  <c r="F19" i="1"/>
  <c r="F24" i="1" s="1"/>
  <c r="C20" i="1"/>
  <c r="E47" i="2" l="1"/>
  <c r="F45" i="2"/>
  <c r="G44" i="2"/>
  <c r="F46" i="2"/>
  <c r="F26" i="2"/>
  <c r="G25" i="2"/>
  <c r="F27" i="2"/>
  <c r="F9" i="2"/>
  <c r="I16" i="2"/>
  <c r="G9" i="2"/>
  <c r="I9" i="2"/>
  <c r="E9" i="2"/>
  <c r="H9" i="2"/>
  <c r="S129" i="1"/>
  <c r="Z122" i="1"/>
  <c r="AA156" i="1"/>
  <c r="AA159" i="1" s="1"/>
  <c r="C82" i="1"/>
  <c r="I79" i="1"/>
  <c r="I80" i="1" s="1"/>
  <c r="S127" i="1"/>
  <c r="F40" i="1"/>
  <c r="C99" i="1"/>
  <c r="S128" i="1"/>
  <c r="X129" i="1"/>
  <c r="I63" i="1"/>
  <c r="I64" i="1" s="1"/>
  <c r="C116" i="1"/>
  <c r="S142" i="1"/>
  <c r="X130" i="1"/>
  <c r="F72" i="1"/>
  <c r="F88" i="1"/>
  <c r="X127" i="1"/>
  <c r="X134" i="1"/>
  <c r="L103" i="1"/>
  <c r="I95" i="1" s="1"/>
  <c r="I96" i="1" s="1"/>
  <c r="F122" i="1"/>
  <c r="S115" i="1"/>
  <c r="L115" i="1"/>
  <c r="L120" i="1" s="1"/>
  <c r="I112" i="1" s="1"/>
  <c r="F105" i="1"/>
  <c r="L54" i="1"/>
  <c r="I47" i="1" s="1"/>
  <c r="I48" i="1" s="1"/>
  <c r="F56" i="1"/>
  <c r="H44" i="2" l="1"/>
  <c r="G46" i="2"/>
  <c r="G45" i="2"/>
  <c r="G47" i="2" s="1"/>
  <c r="F47" i="2"/>
  <c r="H25" i="2"/>
  <c r="G26" i="2"/>
  <c r="G27" i="2"/>
  <c r="F28" i="2"/>
  <c r="I15" i="2"/>
  <c r="D18" i="2" s="1"/>
  <c r="D20" i="2" s="1"/>
  <c r="AA152" i="1"/>
  <c r="AA153" i="1" s="1"/>
  <c r="P152" i="1"/>
  <c r="AC150" i="1" s="1"/>
  <c r="AA163" i="1"/>
  <c r="AA166" i="1" s="1"/>
  <c r="S131" i="1"/>
  <c r="I113" i="1"/>
  <c r="P128" i="1"/>
  <c r="P112" i="1"/>
  <c r="P113" i="1" s="1"/>
  <c r="S118" i="1" s="1"/>
  <c r="S120" i="1" s="1"/>
  <c r="H46" i="2" l="1"/>
  <c r="H45" i="2"/>
  <c r="H47" i="2" s="1"/>
  <c r="I44" i="2"/>
  <c r="G28" i="2"/>
  <c r="H27" i="2"/>
  <c r="I25" i="2"/>
  <c r="H26" i="2"/>
  <c r="AA169" i="1"/>
  <c r="AB150" i="1"/>
  <c r="AD150" i="1" s="1"/>
  <c r="P129" i="1"/>
  <c r="S134" i="1" s="1"/>
  <c r="S136" i="1" s="1"/>
  <c r="S143" i="1"/>
  <c r="S144" i="1" s="1"/>
  <c r="I45" i="2" l="1"/>
  <c r="I46" i="2"/>
  <c r="H28" i="2"/>
  <c r="I27" i="2"/>
  <c r="I26" i="2"/>
  <c r="AA170" i="1"/>
  <c r="AA171" i="1" s="1"/>
  <c r="AE164" i="1"/>
  <c r="AE162" i="1"/>
  <c r="AE165" i="1"/>
  <c r="AB162" i="1"/>
  <c r="AF162" i="1" s="1"/>
  <c r="W151" i="1" s="1"/>
  <c r="AC151" i="1"/>
  <c r="AB151" i="1" s="1"/>
  <c r="AD151" i="1" s="1"/>
  <c r="V138" i="1"/>
  <c r="S141" i="1"/>
  <c r="I54" i="2" l="1"/>
  <c r="I47" i="2"/>
  <c r="I53" i="2" s="1"/>
  <c r="I35" i="2"/>
  <c r="I28" i="2"/>
  <c r="I34" i="2" s="1"/>
  <c r="D37" i="2" s="1"/>
  <c r="D39" i="2" s="1"/>
  <c r="V153" i="1"/>
  <c r="X153" i="1"/>
  <c r="AC162" i="1"/>
  <c r="S151" i="1" s="1"/>
  <c r="U151" i="1" s="1"/>
  <c r="X151" i="1"/>
  <c r="V151" i="1"/>
  <c r="V150" i="1"/>
  <c r="X150" i="1"/>
  <c r="W127" i="1"/>
  <c r="X136" i="1"/>
  <c r="AC152" i="1"/>
  <c r="AB152" i="1" s="1"/>
  <c r="AD152" i="1" s="1"/>
  <c r="W130" i="1"/>
  <c r="W129" i="1"/>
  <c r="W128" i="1"/>
  <c r="D56" i="2" l="1"/>
  <c r="D58" i="2" s="1"/>
  <c r="AB153" i="1"/>
  <c r="S150" i="1" l="1"/>
  <c r="U150" i="1"/>
  <c r="W150" i="1"/>
  <c r="S152" i="1"/>
  <c r="U152" i="1"/>
  <c r="W152" i="1"/>
  <c r="X152" i="1"/>
  <c r="S153" i="1"/>
  <c r="U153" i="1"/>
  <c r="W153" i="1"/>
  <c r="S154" i="1"/>
  <c r="AB156" i="1"/>
  <c r="AC156" i="1"/>
  <c r="AD156" i="1"/>
  <c r="S157" i="1"/>
  <c r="AB157" i="1"/>
  <c r="AC157" i="1"/>
  <c r="AD157" i="1"/>
  <c r="AB158" i="1"/>
  <c r="AC158" i="1"/>
  <c r="AD158" i="1"/>
  <c r="S159" i="1"/>
  <c r="AB159" i="1"/>
  <c r="AC159" i="1"/>
  <c r="S161" i="1"/>
  <c r="S162" i="1"/>
  <c r="S163" i="1"/>
  <c r="AB163" i="1"/>
  <c r="AC163" i="1"/>
  <c r="AD163" i="1"/>
  <c r="AE163" i="1"/>
  <c r="AF163" i="1"/>
  <c r="S164" i="1"/>
  <c r="AB164" i="1"/>
  <c r="AC164" i="1"/>
  <c r="AF164" i="1"/>
  <c r="AB165" i="1"/>
  <c r="AC165" i="1"/>
  <c r="AF165" i="1"/>
  <c r="AB166" i="1"/>
  <c r="AC166" i="1"/>
  <c r="AD166" i="1"/>
</calcChain>
</file>

<file path=xl/comments1.xml><?xml version="1.0" encoding="utf-8"?>
<comments xmlns="http://schemas.openxmlformats.org/spreadsheetml/2006/main">
  <authors>
    <author>Wall Street Prep</author>
  </authors>
  <commentList>
    <comment ref="P151" authorId="0" shapeId="0">
      <text>
        <r>
          <rPr>
            <b/>
            <sz val="9"/>
            <color indexed="81"/>
            <rFont val="Tahoma"/>
            <family val="2"/>
          </rPr>
          <t>Wall Street Prep:</t>
        </r>
        <r>
          <rPr>
            <sz val="9"/>
            <color indexed="81"/>
            <rFont val="Tahoma"/>
            <family val="2"/>
          </rPr>
          <t xml:space="preserve">
2 scenarios for asset value</t>
        </r>
      </text>
    </comment>
    <comment ref="AA168" authorId="0" shapeId="0">
      <text>
        <r>
          <rPr>
            <b/>
            <sz val="9"/>
            <color indexed="81"/>
            <rFont val="Tahoma"/>
            <family val="2"/>
          </rPr>
          <t>Wall Street Prep:</t>
        </r>
        <r>
          <rPr>
            <sz val="9"/>
            <color indexed="81"/>
            <rFont val="Tahoma"/>
            <family val="2"/>
          </rPr>
          <t xml:space="preserve">
two scenarios for acceptable level of debt post restructuring</t>
        </r>
      </text>
    </comment>
  </commentList>
</comments>
</file>

<file path=xl/sharedStrings.xml><?xml version="1.0" encoding="utf-8"?>
<sst xmlns="http://schemas.openxmlformats.org/spreadsheetml/2006/main" count="375" uniqueCount="91">
  <si>
    <t>Liabilities</t>
  </si>
  <si>
    <t>Operating assets</t>
  </si>
  <si>
    <t>1st lien loan</t>
  </si>
  <si>
    <t>2nd lien loan</t>
  </si>
  <si>
    <t>Equity</t>
  </si>
  <si>
    <t>Common</t>
  </si>
  <si>
    <t>ASSETS</t>
  </si>
  <si>
    <t>LIABILITIES</t>
  </si>
  <si>
    <t>EQUITY</t>
  </si>
  <si>
    <t>Initial Balance Sheet:</t>
  </si>
  <si>
    <t>Cash</t>
  </si>
  <si>
    <t>Flooring</t>
  </si>
  <si>
    <t>Property</t>
  </si>
  <si>
    <t>Accounts payable</t>
  </si>
  <si>
    <t>Balance Sheet: w/AP and $50k new equity</t>
  </si>
  <si>
    <t>$ in thousands</t>
  </si>
  <si>
    <t>Total Assets</t>
  </si>
  <si>
    <t>Total liabilities</t>
  </si>
  <si>
    <t>Total liabilities + equity</t>
  </si>
  <si>
    <t>Retained earnings</t>
  </si>
  <si>
    <t>Total equity</t>
  </si>
  <si>
    <t>Balance Sheet: Post stock offering - GAAP</t>
  </si>
  <si>
    <t>Total assets</t>
  </si>
  <si>
    <t>Balance Sheet: Post stock offering - Market</t>
  </si>
  <si>
    <t>Balance Sheet: Propsects more bullish - GAAP</t>
  </si>
  <si>
    <t>Balance Sheet: Prospects more bullish - Market</t>
  </si>
  <si>
    <t>Balance Sheet: Better credit terms, more A/P - GAAP</t>
  </si>
  <si>
    <t>Balance Sheet: Better credit terms, more A/P - Market</t>
  </si>
  <si>
    <t>Balance Sheet: Post acquisition - GAAP</t>
  </si>
  <si>
    <t>Balance Sheet: Post acquisition - Market</t>
  </si>
  <si>
    <t>Goodwill</t>
  </si>
  <si>
    <t>Balance Sheet: Distress - GAAP</t>
  </si>
  <si>
    <t>Balance Sheet: Distress - Market</t>
  </si>
  <si>
    <t>% of par</t>
  </si>
  <si>
    <t>Balance Sheet: Distress - Blend</t>
  </si>
  <si>
    <t>Equity (shares)</t>
  </si>
  <si>
    <t>Total shares</t>
  </si>
  <si>
    <t>$/share</t>
  </si>
  <si>
    <t>Aggregate recovery</t>
  </si>
  <si>
    <t>Equity owners</t>
  </si>
  <si>
    <t>You</t>
  </si>
  <si>
    <t>Equity % ownership</t>
  </si>
  <si>
    <t>Discount to Claim</t>
  </si>
  <si>
    <t>NM</t>
  </si>
  <si>
    <t>Balance Sheet: Out of court restructuring proposal</t>
  </si>
  <si>
    <t>Net debt</t>
  </si>
  <si>
    <t>Enterprise value</t>
  </si>
  <si>
    <t>Equity value</t>
  </si>
  <si>
    <t>Net debt / EV</t>
  </si>
  <si>
    <t>Equity ownership (%)</t>
  </si>
  <si>
    <t>Secured 1st lien</t>
  </si>
  <si>
    <t>Secured 2nd lien</t>
  </si>
  <si>
    <t>Unsecured 2nd lien</t>
  </si>
  <si>
    <t>Unsecured note</t>
  </si>
  <si>
    <t>General unsecured claims</t>
  </si>
  <si>
    <t>Value available</t>
  </si>
  <si>
    <t>Recovery $</t>
  </si>
  <si>
    <t>Recovery %</t>
  </si>
  <si>
    <t>2nd lien</t>
  </si>
  <si>
    <t>1st lien</t>
  </si>
  <si>
    <t>Claims</t>
  </si>
  <si>
    <t>GUCs</t>
  </si>
  <si>
    <t>Claim</t>
  </si>
  <si>
    <t>Total</t>
  </si>
  <si>
    <t>Max liabilities post restructuring</t>
  </si>
  <si>
    <t>Tip to owners</t>
  </si>
  <si>
    <t>Balance Sheet: Out of court proposal altered to reflect absoulte priority rule (w/5% owner equity)</t>
  </si>
  <si>
    <t>Note: A/P, 1st lien and unsecured don't want stock</t>
  </si>
  <si>
    <t xml:space="preserve">Aggregate Recoveries </t>
  </si>
  <si>
    <t xml:space="preserve">Total </t>
  </si>
  <si>
    <t xml:space="preserve">Owners </t>
  </si>
  <si>
    <t xml:space="preserve">Equity value post restructuring </t>
  </si>
  <si>
    <t>Secured vs unsecured claims</t>
  </si>
  <si>
    <t>Recov. % after tip</t>
  </si>
  <si>
    <t>Original Equity</t>
  </si>
  <si>
    <t>Revenue</t>
  </si>
  <si>
    <t>% Equity</t>
  </si>
  <si>
    <t>Aggregate Recovery %</t>
  </si>
  <si>
    <t>Asset values scenarios</t>
  </si>
  <si>
    <t>Revenue growth (%)</t>
  </si>
  <si>
    <t>EBIT</t>
  </si>
  <si>
    <t>Unlevered free cash flow</t>
  </si>
  <si>
    <t>EBIT margin</t>
  </si>
  <si>
    <t>Tax rate</t>
  </si>
  <si>
    <t>D&amp;A and other noncash items</t>
  </si>
  <si>
    <t>Terminal EBITDA multiple</t>
  </si>
  <si>
    <t>Discount rate (WACC)</t>
  </si>
  <si>
    <t>DCF Model</t>
  </si>
  <si>
    <t>PV of FCFs</t>
  </si>
  <si>
    <t>PV of terminal value</t>
  </si>
  <si>
    <t>Forecasts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</si>
</sst>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164" formatCode="#,##0.0_);\(#,##0.0\);@_)"/>
    <numFmt numFmtId="165" formatCode="#,##0_);\(#,##0\);@_)"/>
    <numFmt numFmtId="166" formatCode="0.0%_);\(0.0%\);@_)"/>
    <numFmt numFmtId="167" formatCode="&quot;$&quot;#,##0.00_);\(&quot;$&quot;#,##0.00\);@_)"/>
    <numFmt numFmtId="168" formatCode="0%_);\(0%\);@_)"/>
    <numFmt numFmtId="169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8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0" fillId="0" borderId="0" xfId="0" applyNumberFormat="1" applyFont="1"/>
    <xf numFmtId="165" fontId="0" fillId="0" borderId="0" xfId="0" applyNumberFormat="1" applyFo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4" fontId="1" fillId="0" borderId="1" xfId="0" applyNumberFormat="1" applyFont="1" applyBorder="1"/>
    <xf numFmtId="0" fontId="2" fillId="2" borderId="0" xfId="0" applyFont="1" applyFill="1"/>
    <xf numFmtId="0" fontId="0" fillId="2" borderId="0" xfId="0" applyFill="1"/>
    <xf numFmtId="0" fontId="3" fillId="0" borderId="0" xfId="0" applyFont="1"/>
    <xf numFmtId="165" fontId="0" fillId="0" borderId="0" xfId="0" applyNumberFormat="1"/>
    <xf numFmtId="165" fontId="4" fillId="0" borderId="0" xfId="0" applyNumberFormat="1" applyFont="1"/>
    <xf numFmtId="0" fontId="0" fillId="0" borderId="0" xfId="0" applyAlignment="1">
      <alignment horizontal="left" indent="1"/>
    </xf>
    <xf numFmtId="165" fontId="0" fillId="0" borderId="0" xfId="0" applyNumberFormat="1" applyFont="1" applyBorder="1"/>
    <xf numFmtId="165" fontId="4" fillId="0" borderId="0" xfId="0" applyNumberFormat="1" applyFont="1" applyBorder="1"/>
    <xf numFmtId="37" fontId="0" fillId="0" borderId="0" xfId="0" applyNumberFormat="1"/>
    <xf numFmtId="0" fontId="0" fillId="0" borderId="0" xfId="0" applyAlignment="1">
      <alignment horizontal="left"/>
    </xf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9" fontId="6" fillId="0" borderId="0" xfId="0" applyNumberFormat="1" applyFont="1"/>
    <xf numFmtId="0" fontId="4" fillId="0" borderId="0" xfId="0" applyFont="1"/>
    <xf numFmtId="167" fontId="0" fillId="0" borderId="0" xfId="0" applyNumberFormat="1"/>
    <xf numFmtId="168" fontId="0" fillId="0" borderId="0" xfId="0" applyNumberFormat="1"/>
    <xf numFmtId="0" fontId="0" fillId="0" borderId="1" xfId="0" applyBorder="1" applyAlignment="1">
      <alignment horizontal="right" wrapText="1"/>
    </xf>
    <xf numFmtId="9" fontId="7" fillId="0" borderId="0" xfId="0" applyNumberFormat="1" applyFont="1"/>
    <xf numFmtId="0" fontId="0" fillId="0" borderId="0" xfId="0" applyBorder="1"/>
    <xf numFmtId="165" fontId="8" fillId="0" borderId="0" xfId="0" applyNumberFormat="1" applyFont="1"/>
    <xf numFmtId="168" fontId="8" fillId="0" borderId="0" xfId="0" applyNumberFormat="1" applyFont="1"/>
    <xf numFmtId="0" fontId="7" fillId="0" borderId="0" xfId="0" applyFont="1"/>
    <xf numFmtId="166" fontId="8" fillId="0" borderId="0" xfId="0" applyNumberFormat="1" applyFont="1"/>
    <xf numFmtId="37" fontId="8" fillId="0" borderId="0" xfId="0" applyNumberFormat="1" applyFont="1"/>
    <xf numFmtId="165" fontId="7" fillId="0" borderId="0" xfId="0" applyNumberFormat="1" applyFont="1"/>
    <xf numFmtId="165" fontId="8" fillId="0" borderId="0" xfId="0" applyNumberFormat="1" applyFont="1" applyBorder="1"/>
    <xf numFmtId="165" fontId="9" fillId="0" borderId="0" xfId="0" applyNumberFormat="1" applyFont="1" applyBorder="1"/>
    <xf numFmtId="165" fontId="8" fillId="0" borderId="0" xfId="0" applyNumberFormat="1" applyFont="1" applyAlignment="1">
      <alignment horizontal="right"/>
    </xf>
    <xf numFmtId="165" fontId="9" fillId="0" borderId="0" xfId="0" applyNumberFormat="1" applyFont="1"/>
    <xf numFmtId="7" fontId="0" fillId="0" borderId="0" xfId="0" applyNumberFormat="1"/>
    <xf numFmtId="165" fontId="10" fillId="0" borderId="0" xfId="0" applyNumberFormat="1" applyFont="1"/>
    <xf numFmtId="9" fontId="8" fillId="0" borderId="0" xfId="0" applyNumberFormat="1" applyFont="1"/>
    <xf numFmtId="0" fontId="9" fillId="0" borderId="0" xfId="0" applyFont="1" applyAlignment="1">
      <alignment horizontal="right"/>
    </xf>
    <xf numFmtId="165" fontId="11" fillId="0" borderId="0" xfId="0" applyNumberFormat="1" applyFont="1"/>
    <xf numFmtId="1" fontId="0" fillId="0" borderId="0" xfId="0" applyNumberFormat="1"/>
    <xf numFmtId="9" fontId="0" fillId="0" borderId="0" xfId="0" applyNumberFormat="1" applyBorder="1"/>
    <xf numFmtId="0" fontId="0" fillId="0" borderId="0" xfId="0" applyBorder="1" applyAlignment="1">
      <alignment horizontal="left" indent="1"/>
    </xf>
    <xf numFmtId="9" fontId="7" fillId="0" borderId="0" xfId="0" applyNumberFormat="1" applyFont="1" applyBorder="1"/>
    <xf numFmtId="166" fontId="0" fillId="0" borderId="0" xfId="0" applyNumberFormat="1"/>
    <xf numFmtId="9" fontId="0" fillId="0" borderId="0" xfId="0" applyNumberFormat="1"/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7" fillId="0" borderId="2" xfId="0" applyNumberFormat="1" applyFont="1" applyBorder="1"/>
    <xf numFmtId="165" fontId="4" fillId="0" borderId="2" xfId="0" applyNumberFormat="1" applyFont="1" applyBorder="1"/>
    <xf numFmtId="165" fontId="8" fillId="0" borderId="2" xfId="0" applyNumberFormat="1" applyFont="1" applyBorder="1"/>
    <xf numFmtId="3" fontId="8" fillId="0" borderId="0" xfId="0" applyNumberFormat="1" applyFont="1"/>
    <xf numFmtId="169" fontId="0" fillId="0" borderId="0" xfId="0" applyNumberFormat="1"/>
    <xf numFmtId="169" fontId="1" fillId="0" borderId="0" xfId="0" applyNumberFormat="1" applyFont="1"/>
    <xf numFmtId="169" fontId="0" fillId="0" borderId="0" xfId="0" applyNumberFormat="1" applyFont="1"/>
    <xf numFmtId="0" fontId="1" fillId="0" borderId="9" xfId="0" applyFont="1" applyBorder="1"/>
    <xf numFmtId="0" fontId="3" fillId="0" borderId="9" xfId="0" applyFont="1" applyBorder="1"/>
    <xf numFmtId="0" fontId="14" fillId="0" borderId="10" xfId="0" applyFont="1" applyBorder="1"/>
    <xf numFmtId="0" fontId="0" fillId="0" borderId="10" xfId="0" applyBorder="1"/>
    <xf numFmtId="9" fontId="15" fillId="0" borderId="0" xfId="0" applyNumberFormat="1" applyFont="1"/>
    <xf numFmtId="4" fontId="15" fillId="0" borderId="0" xfId="0" applyNumberFormat="1" applyFont="1"/>
    <xf numFmtId="0" fontId="0" fillId="0" borderId="11" xfId="0" applyBorder="1" applyAlignment="1">
      <alignment horizontal="centerContinuous"/>
    </xf>
    <xf numFmtId="0" fontId="16" fillId="0" borderId="11" xfId="0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Sheet1!$AA$127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50-428F-A301-AF6C3F8494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50-428F-A301-AF6C3F8494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50-428F-A301-AF6C3F84946C}"/>
              </c:ext>
            </c:extLst>
          </c:dPt>
          <c:cat>
            <c:strRef>
              <c:f>Sheet1!$Z$128:$Z$130</c:f>
              <c:strCache>
                <c:ptCount val="3"/>
                <c:pt idx="0">
                  <c:v>2nd lien loan</c:v>
                </c:pt>
                <c:pt idx="1">
                  <c:v>Unsecured note</c:v>
                </c:pt>
                <c:pt idx="2">
                  <c:v>Original Equity</c:v>
                </c:pt>
              </c:strCache>
            </c:strRef>
          </c:cat>
          <c:val>
            <c:numRef>
              <c:f>Sheet1!$AA$128:$AA$130</c:f>
              <c:numCache>
                <c:formatCode>0%_);\(0%\);@_)</c:formatCode>
                <c:ptCount val="3"/>
                <c:pt idx="0">
                  <c:v>0.55555555555555558</c:v>
                </c:pt>
                <c:pt idx="1">
                  <c:v>0.27777777777777779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0-4114-8ED1-46B30254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133350</xdr:colOff>
      <xdr:row>62</xdr:row>
      <xdr:rowOff>180975</xdr:rowOff>
    </xdr:from>
    <xdr:ext cx="3088602" cy="3427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FB2572-7EA1-451A-A0C1-40AFD9B6302C}"/>
            </a:ext>
          </a:extLst>
        </xdr:cNvPr>
        <xdr:cNvSpPr txBox="1"/>
      </xdr:nvSpPr>
      <xdr:spPr>
        <a:xfrm>
          <a:off x="11534775" y="12363450"/>
          <a:ext cx="3088602" cy="34278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No impact on GAAP balance sheet</a:t>
          </a:r>
        </a:p>
      </xdr:txBody>
    </xdr:sp>
    <xdr:clientData/>
  </xdr:oneCellAnchor>
  <xdr:twoCellAnchor>
    <xdr:from>
      <xdr:col>25</xdr:col>
      <xdr:colOff>95250</xdr:colOff>
      <xdr:row>131</xdr:row>
      <xdr:rowOff>95250</xdr:rowOff>
    </xdr:from>
    <xdr:to>
      <xdr:col>26</xdr:col>
      <xdr:colOff>514350</xdr:colOff>
      <xdr:row>143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8A69C2-D110-4946-997B-5243D7D546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F173"/>
  <sheetViews>
    <sheetView showGridLines="0" tabSelected="1" zoomScale="85" zoomScaleNormal="85" workbookViewId="0"/>
  </sheetViews>
  <sheetFormatPr defaultRowHeight="15" x14ac:dyDescent="0.25"/>
  <cols>
    <col min="2" max="2" width="23.7109375" customWidth="1"/>
    <col min="3" max="3" width="9.28515625" customWidth="1"/>
    <col min="4" max="4" width="2.5703125" customWidth="1"/>
    <col min="5" max="5" width="26" customWidth="1"/>
    <col min="6" max="6" width="10.28515625" customWidth="1"/>
    <col min="8" max="8" width="25" customWidth="1"/>
    <col min="10" max="10" width="3.42578125" customWidth="1"/>
    <col min="11" max="11" width="25" customWidth="1"/>
    <col min="14" max="14" width="3.28515625" customWidth="1"/>
    <col min="15" max="15" width="46.140625" customWidth="1"/>
    <col min="17" max="17" width="3.28515625" customWidth="1"/>
    <col min="18" max="18" width="24.85546875" customWidth="1"/>
    <col min="20" max="20" width="2.140625" customWidth="1"/>
    <col min="21" max="24" width="12.5703125" customWidth="1"/>
    <col min="26" max="26" width="29.5703125" customWidth="1"/>
    <col min="27" max="32" width="14.140625" customWidth="1"/>
  </cols>
  <sheetData>
    <row r="2" spans="2:6" ht="19.5" x14ac:dyDescent="0.3">
      <c r="B2" s="7" t="s">
        <v>9</v>
      </c>
      <c r="C2" s="8"/>
      <c r="D2" s="8"/>
      <c r="E2" s="8"/>
      <c r="F2" s="8"/>
    </row>
    <row r="3" spans="2:6" x14ac:dyDescent="0.25">
      <c r="B3" s="9" t="s">
        <v>15</v>
      </c>
    </row>
    <row r="5" spans="2:6" ht="15.75" thickBot="1" x14ac:dyDescent="0.3">
      <c r="B5" s="4" t="s">
        <v>6</v>
      </c>
      <c r="C5" s="5"/>
      <c r="E5" s="4" t="s">
        <v>7</v>
      </c>
      <c r="F5" s="5"/>
    </row>
    <row r="6" spans="2:6" x14ac:dyDescent="0.25">
      <c r="B6" t="s">
        <v>1</v>
      </c>
      <c r="C6" s="2">
        <v>950</v>
      </c>
      <c r="E6" t="s">
        <v>2</v>
      </c>
      <c r="F6" s="2">
        <v>100</v>
      </c>
    </row>
    <row r="7" spans="2:6" x14ac:dyDescent="0.25">
      <c r="E7" t="s">
        <v>3</v>
      </c>
      <c r="F7" s="2">
        <v>400</v>
      </c>
    </row>
    <row r="8" spans="2:6" x14ac:dyDescent="0.25">
      <c r="F8" s="1"/>
    </row>
    <row r="9" spans="2:6" ht="15.75" thickBot="1" x14ac:dyDescent="0.3">
      <c r="E9" s="4" t="s">
        <v>8</v>
      </c>
      <c r="F9" s="6"/>
    </row>
    <row r="10" spans="2:6" x14ac:dyDescent="0.25">
      <c r="E10" t="s">
        <v>5</v>
      </c>
      <c r="F10" s="2">
        <v>450</v>
      </c>
    </row>
    <row r="12" spans="2:6" ht="19.5" x14ac:dyDescent="0.3">
      <c r="B12" s="7" t="s">
        <v>14</v>
      </c>
      <c r="C12" s="8"/>
      <c r="D12" s="8"/>
      <c r="E12" s="8"/>
      <c r="F12" s="8"/>
    </row>
    <row r="13" spans="2:6" x14ac:dyDescent="0.25">
      <c r="B13" s="9" t="s">
        <v>15</v>
      </c>
    </row>
    <row r="14" spans="2:6" x14ac:dyDescent="0.25">
      <c r="B14" s="9"/>
    </row>
    <row r="15" spans="2:6" ht="15.75" thickBot="1" x14ac:dyDescent="0.3">
      <c r="B15" s="4" t="s">
        <v>6</v>
      </c>
      <c r="C15" s="5"/>
      <c r="E15" s="4" t="s">
        <v>7</v>
      </c>
      <c r="F15" s="5"/>
    </row>
    <row r="16" spans="2:6" x14ac:dyDescent="0.25">
      <c r="B16" t="s">
        <v>10</v>
      </c>
      <c r="C16" s="2">
        <v>50</v>
      </c>
      <c r="E16" t="s">
        <v>13</v>
      </c>
      <c r="F16" s="2">
        <v>20</v>
      </c>
    </row>
    <row r="17" spans="2:6" x14ac:dyDescent="0.25">
      <c r="B17" t="s">
        <v>1</v>
      </c>
      <c r="C17" s="1"/>
      <c r="E17" t="s">
        <v>2</v>
      </c>
      <c r="F17" s="2">
        <v>100</v>
      </c>
    </row>
    <row r="18" spans="2:6" x14ac:dyDescent="0.25">
      <c r="B18" s="12" t="s">
        <v>12</v>
      </c>
      <c r="C18" s="2">
        <v>950</v>
      </c>
      <c r="E18" t="s">
        <v>3</v>
      </c>
      <c r="F18" s="14">
        <v>400</v>
      </c>
    </row>
    <row r="19" spans="2:6" x14ac:dyDescent="0.25">
      <c r="B19" s="12" t="s">
        <v>11</v>
      </c>
      <c r="C19" s="11">
        <v>20</v>
      </c>
      <c r="E19" t="s">
        <v>17</v>
      </c>
      <c r="F19" s="2">
        <f>SUM(F16:F18)</f>
        <v>520</v>
      </c>
    </row>
    <row r="20" spans="2:6" x14ac:dyDescent="0.25">
      <c r="B20" t="s">
        <v>16</v>
      </c>
      <c r="C20" s="10">
        <f>SUM(C16:C19)</f>
        <v>1020</v>
      </c>
    </row>
    <row r="21" spans="2:6" ht="15.75" thickBot="1" x14ac:dyDescent="0.3">
      <c r="E21" s="4" t="s">
        <v>8</v>
      </c>
      <c r="F21" s="6"/>
    </row>
    <row r="22" spans="2:6" x14ac:dyDescent="0.25">
      <c r="E22" t="s">
        <v>5</v>
      </c>
      <c r="F22" s="2">
        <v>500</v>
      </c>
    </row>
    <row r="24" spans="2:6" x14ac:dyDescent="0.25">
      <c r="E24" t="s">
        <v>18</v>
      </c>
      <c r="F24" s="15">
        <f>F19+F22</f>
        <v>1020</v>
      </c>
    </row>
    <row r="26" spans="2:6" ht="19.5" x14ac:dyDescent="0.3">
      <c r="B26" s="7" t="s">
        <v>14</v>
      </c>
      <c r="C26" s="8"/>
      <c r="D26" s="8"/>
      <c r="E26" s="8"/>
      <c r="F26" s="8"/>
    </row>
    <row r="27" spans="2:6" x14ac:dyDescent="0.25">
      <c r="B27" s="9" t="s">
        <v>15</v>
      </c>
    </row>
    <row r="28" spans="2:6" x14ac:dyDescent="0.25">
      <c r="B28" s="9"/>
    </row>
    <row r="29" spans="2:6" ht="15.75" thickBot="1" x14ac:dyDescent="0.3">
      <c r="B29" s="4" t="s">
        <v>6</v>
      </c>
      <c r="C29" s="5"/>
      <c r="E29" s="4" t="s">
        <v>7</v>
      </c>
      <c r="F29" s="5"/>
    </row>
    <row r="30" spans="2:6" x14ac:dyDescent="0.25">
      <c r="B30" t="s">
        <v>10</v>
      </c>
      <c r="C30" s="2">
        <v>90</v>
      </c>
      <c r="E30" t="s">
        <v>13</v>
      </c>
      <c r="F30" s="2">
        <v>20</v>
      </c>
    </row>
    <row r="31" spans="2:6" x14ac:dyDescent="0.25">
      <c r="B31" t="s">
        <v>1</v>
      </c>
      <c r="C31" s="1"/>
      <c r="E31" t="s">
        <v>2</v>
      </c>
      <c r="F31" s="2">
        <v>100</v>
      </c>
    </row>
    <row r="32" spans="2:6" x14ac:dyDescent="0.25">
      <c r="B32" s="12" t="s">
        <v>12</v>
      </c>
      <c r="C32" s="2">
        <v>950</v>
      </c>
      <c r="E32" t="s">
        <v>3</v>
      </c>
      <c r="F32" s="14">
        <v>400</v>
      </c>
    </row>
    <row r="33" spans="2:12" x14ac:dyDescent="0.25">
      <c r="B33" s="12" t="s">
        <v>11</v>
      </c>
      <c r="C33" s="11">
        <v>20</v>
      </c>
      <c r="E33" t="s">
        <v>17</v>
      </c>
      <c r="F33" s="2">
        <f>SUM(F30:F32)</f>
        <v>520</v>
      </c>
    </row>
    <row r="34" spans="2:12" x14ac:dyDescent="0.25">
      <c r="B34" t="s">
        <v>16</v>
      </c>
      <c r="C34" s="10">
        <f>SUM(C30:C33)</f>
        <v>1060</v>
      </c>
    </row>
    <row r="35" spans="2:12" ht="15.75" thickBot="1" x14ac:dyDescent="0.3">
      <c r="E35" s="4" t="s">
        <v>8</v>
      </c>
      <c r="F35" s="6"/>
    </row>
    <row r="36" spans="2:12" x14ac:dyDescent="0.25">
      <c r="E36" t="s">
        <v>5</v>
      </c>
      <c r="F36" s="2">
        <v>500</v>
      </c>
    </row>
    <row r="37" spans="2:12" x14ac:dyDescent="0.25">
      <c r="E37" t="s">
        <v>19</v>
      </c>
      <c r="F37" s="11">
        <v>40</v>
      </c>
    </row>
    <row r="38" spans="2:12" x14ac:dyDescent="0.25">
      <c r="E38" t="s">
        <v>20</v>
      </c>
      <c r="F38" s="10">
        <f>SUM(F36:F37)</f>
        <v>540</v>
      </c>
    </row>
    <row r="40" spans="2:12" x14ac:dyDescent="0.25">
      <c r="E40" t="s">
        <v>18</v>
      </c>
      <c r="F40" s="15">
        <f>F33+F38</f>
        <v>1060</v>
      </c>
    </row>
    <row r="41" spans="2:12" x14ac:dyDescent="0.25">
      <c r="F41" s="10"/>
    </row>
    <row r="42" spans="2:12" ht="19.5" x14ac:dyDescent="0.3">
      <c r="B42" s="7" t="s">
        <v>21</v>
      </c>
      <c r="C42" s="8"/>
      <c r="D42" s="8"/>
      <c r="E42" s="8"/>
      <c r="F42" s="8"/>
      <c r="H42" s="17" t="s">
        <v>23</v>
      </c>
      <c r="I42" s="18"/>
      <c r="J42" s="18"/>
      <c r="K42" s="18"/>
      <c r="L42" s="18"/>
    </row>
    <row r="43" spans="2:12" x14ac:dyDescent="0.25">
      <c r="B43" s="9" t="s">
        <v>15</v>
      </c>
      <c r="H43" s="9" t="s">
        <v>15</v>
      </c>
    </row>
    <row r="44" spans="2:12" x14ac:dyDescent="0.25">
      <c r="B44" s="9"/>
      <c r="H44" s="9"/>
    </row>
    <row r="45" spans="2:12" ht="15.75" thickBot="1" x14ac:dyDescent="0.3">
      <c r="B45" s="4" t="s">
        <v>6</v>
      </c>
      <c r="C45" s="5"/>
      <c r="E45" s="4" t="s">
        <v>7</v>
      </c>
      <c r="F45" s="5"/>
      <c r="H45" s="4" t="s">
        <v>6</v>
      </c>
      <c r="I45" s="5"/>
      <c r="K45" s="4" t="s">
        <v>7</v>
      </c>
      <c r="L45" s="5"/>
    </row>
    <row r="46" spans="2:12" x14ac:dyDescent="0.25">
      <c r="B46" t="s">
        <v>10</v>
      </c>
      <c r="C46" s="2">
        <f>90+150</f>
        <v>240</v>
      </c>
      <c r="E46" t="s">
        <v>13</v>
      </c>
      <c r="F46" s="2">
        <v>20</v>
      </c>
      <c r="H46" t="s">
        <v>10</v>
      </c>
      <c r="I46" s="2">
        <f>90+150</f>
        <v>240</v>
      </c>
      <c r="K46" t="s">
        <v>13</v>
      </c>
      <c r="L46" s="2">
        <v>20</v>
      </c>
    </row>
    <row r="47" spans="2:12" x14ac:dyDescent="0.25">
      <c r="B47" t="s">
        <v>1</v>
      </c>
      <c r="C47" s="1"/>
      <c r="E47" t="s">
        <v>2</v>
      </c>
      <c r="F47" s="2">
        <v>100</v>
      </c>
      <c r="H47" t="s">
        <v>1</v>
      </c>
      <c r="I47" s="11">
        <f>L54-I46</f>
        <v>1180</v>
      </c>
      <c r="K47" t="s">
        <v>2</v>
      </c>
      <c r="L47" s="2">
        <v>100</v>
      </c>
    </row>
    <row r="48" spans="2:12" x14ac:dyDescent="0.25">
      <c r="B48" s="12" t="s">
        <v>12</v>
      </c>
      <c r="C48" s="2">
        <v>950</v>
      </c>
      <c r="E48" t="s">
        <v>3</v>
      </c>
      <c r="F48" s="14">
        <v>400</v>
      </c>
      <c r="H48" s="16" t="s">
        <v>22</v>
      </c>
      <c r="I48" s="2">
        <f>SUM(I46:I47)</f>
        <v>1420</v>
      </c>
      <c r="K48" t="s">
        <v>3</v>
      </c>
      <c r="L48" s="14">
        <v>400</v>
      </c>
    </row>
    <row r="49" spans="2:12" x14ac:dyDescent="0.25">
      <c r="B49" s="12" t="s">
        <v>11</v>
      </c>
      <c r="C49" s="11">
        <v>20</v>
      </c>
      <c r="E49" t="s">
        <v>17</v>
      </c>
      <c r="F49" s="2">
        <f>SUM(F46:F48)</f>
        <v>520</v>
      </c>
      <c r="H49" s="12"/>
      <c r="I49" s="11"/>
      <c r="K49" t="s">
        <v>17</v>
      </c>
      <c r="L49" s="2">
        <f>SUM(L46:L48)</f>
        <v>520</v>
      </c>
    </row>
    <row r="50" spans="2:12" x14ac:dyDescent="0.25">
      <c r="B50" t="s">
        <v>16</v>
      </c>
      <c r="C50" s="10">
        <f>SUM(C46:C49)</f>
        <v>1210</v>
      </c>
      <c r="I50" s="10"/>
    </row>
    <row r="51" spans="2:12" ht="15.75" thickBot="1" x14ac:dyDescent="0.3">
      <c r="E51" s="4" t="s">
        <v>8</v>
      </c>
      <c r="F51" s="6"/>
      <c r="K51" s="4" t="s">
        <v>8</v>
      </c>
      <c r="L51" s="6"/>
    </row>
    <row r="52" spans="2:12" x14ac:dyDescent="0.25">
      <c r="E52" t="s">
        <v>5</v>
      </c>
      <c r="F52" s="2">
        <f>500+150</f>
        <v>650</v>
      </c>
      <c r="K52" t="s">
        <v>20</v>
      </c>
      <c r="L52" s="10">
        <v>900</v>
      </c>
    </row>
    <row r="53" spans="2:12" x14ac:dyDescent="0.25">
      <c r="E53" t="s">
        <v>19</v>
      </c>
      <c r="F53" s="11">
        <v>40</v>
      </c>
    </row>
    <row r="54" spans="2:12" x14ac:dyDescent="0.25">
      <c r="E54" t="s">
        <v>20</v>
      </c>
      <c r="F54" s="10">
        <f>SUM(F52:F53)</f>
        <v>690</v>
      </c>
      <c r="K54" t="s">
        <v>18</v>
      </c>
      <c r="L54" s="15">
        <f>L49+L52</f>
        <v>1420</v>
      </c>
    </row>
    <row r="56" spans="2:12" x14ac:dyDescent="0.25">
      <c r="E56" t="s">
        <v>18</v>
      </c>
      <c r="F56" s="15">
        <f>F49+F54</f>
        <v>1210</v>
      </c>
    </row>
    <row r="58" spans="2:12" ht="19.5" x14ac:dyDescent="0.3">
      <c r="B58" s="7" t="s">
        <v>24</v>
      </c>
      <c r="C58" s="8"/>
      <c r="D58" s="8"/>
      <c r="E58" s="8"/>
      <c r="F58" s="8"/>
      <c r="H58" s="17" t="s">
        <v>25</v>
      </c>
      <c r="I58" s="18"/>
      <c r="J58" s="18"/>
      <c r="K58" s="18"/>
      <c r="L58" s="18"/>
    </row>
    <row r="59" spans="2:12" x14ac:dyDescent="0.25">
      <c r="B59" s="9" t="s">
        <v>15</v>
      </c>
      <c r="H59" s="9" t="s">
        <v>15</v>
      </c>
    </row>
    <row r="60" spans="2:12" x14ac:dyDescent="0.25">
      <c r="B60" s="9"/>
      <c r="H60" s="9"/>
    </row>
    <row r="61" spans="2:12" ht="15.75" thickBot="1" x14ac:dyDescent="0.3">
      <c r="B61" s="4" t="s">
        <v>6</v>
      </c>
      <c r="C61" s="5"/>
      <c r="E61" s="4" t="s">
        <v>7</v>
      </c>
      <c r="F61" s="5"/>
      <c r="H61" s="4" t="s">
        <v>6</v>
      </c>
      <c r="I61" s="5"/>
      <c r="K61" s="4" t="s">
        <v>7</v>
      </c>
      <c r="L61" s="5"/>
    </row>
    <row r="62" spans="2:12" x14ac:dyDescent="0.25">
      <c r="B62" t="s">
        <v>10</v>
      </c>
      <c r="C62" s="2">
        <f>90+150</f>
        <v>240</v>
      </c>
      <c r="E62" t="s">
        <v>13</v>
      </c>
      <c r="F62" s="2">
        <v>20</v>
      </c>
      <c r="H62" t="s">
        <v>10</v>
      </c>
      <c r="I62" s="2">
        <f>90+150</f>
        <v>240</v>
      </c>
      <c r="K62" t="s">
        <v>13</v>
      </c>
      <c r="L62" s="2">
        <v>20</v>
      </c>
    </row>
    <row r="63" spans="2:12" x14ac:dyDescent="0.25">
      <c r="B63" t="s">
        <v>1</v>
      </c>
      <c r="C63" s="1"/>
      <c r="E63" t="s">
        <v>2</v>
      </c>
      <c r="F63" s="2">
        <v>100</v>
      </c>
      <c r="H63" t="s">
        <v>1</v>
      </c>
      <c r="I63" s="11">
        <f>L70-I62</f>
        <v>1480</v>
      </c>
      <c r="K63" t="s">
        <v>2</v>
      </c>
      <c r="L63" s="2">
        <v>100</v>
      </c>
    </row>
    <row r="64" spans="2:12" x14ac:dyDescent="0.25">
      <c r="B64" s="12" t="s">
        <v>12</v>
      </c>
      <c r="C64" s="2">
        <v>950</v>
      </c>
      <c r="E64" t="s">
        <v>3</v>
      </c>
      <c r="F64" s="14">
        <v>400</v>
      </c>
      <c r="H64" s="16" t="s">
        <v>22</v>
      </c>
      <c r="I64" s="2">
        <f>SUM(I62:I63)</f>
        <v>1720</v>
      </c>
      <c r="K64" t="s">
        <v>3</v>
      </c>
      <c r="L64" s="14">
        <v>400</v>
      </c>
    </row>
    <row r="65" spans="2:12" x14ac:dyDescent="0.25">
      <c r="B65" s="12" t="s">
        <v>11</v>
      </c>
      <c r="C65" s="11">
        <v>20</v>
      </c>
      <c r="E65" t="s">
        <v>17</v>
      </c>
      <c r="F65" s="2">
        <f>SUM(F62:F64)</f>
        <v>520</v>
      </c>
      <c r="H65" s="12"/>
      <c r="I65" s="11"/>
      <c r="K65" t="s">
        <v>17</v>
      </c>
      <c r="L65" s="2">
        <f>SUM(L62:L64)</f>
        <v>520</v>
      </c>
    </row>
    <row r="66" spans="2:12" x14ac:dyDescent="0.25">
      <c r="B66" t="s">
        <v>16</v>
      </c>
      <c r="C66" s="10">
        <f>SUM(C62:C65)</f>
        <v>1210</v>
      </c>
      <c r="I66" s="10"/>
    </row>
    <row r="67" spans="2:12" ht="15.75" thickBot="1" x14ac:dyDescent="0.3">
      <c r="E67" s="4" t="s">
        <v>8</v>
      </c>
      <c r="F67" s="6"/>
      <c r="K67" s="4" t="s">
        <v>8</v>
      </c>
      <c r="L67" s="6"/>
    </row>
    <row r="68" spans="2:12" x14ac:dyDescent="0.25">
      <c r="E68" t="s">
        <v>5</v>
      </c>
      <c r="F68" s="2">
        <f>500+150</f>
        <v>650</v>
      </c>
      <c r="K68" t="s">
        <v>20</v>
      </c>
      <c r="L68" s="10">
        <v>1200</v>
      </c>
    </row>
    <row r="69" spans="2:12" x14ac:dyDescent="0.25">
      <c r="E69" t="s">
        <v>19</v>
      </c>
      <c r="F69" s="11">
        <v>40</v>
      </c>
    </row>
    <row r="70" spans="2:12" x14ac:dyDescent="0.25">
      <c r="E70" t="s">
        <v>20</v>
      </c>
      <c r="F70" s="10">
        <f>SUM(F68:F69)</f>
        <v>690</v>
      </c>
      <c r="K70" t="s">
        <v>18</v>
      </c>
      <c r="L70" s="15">
        <f>L65+L68</f>
        <v>1720</v>
      </c>
    </row>
    <row r="72" spans="2:12" x14ac:dyDescent="0.25">
      <c r="E72" t="s">
        <v>18</v>
      </c>
      <c r="F72" s="15">
        <f>F65+F70</f>
        <v>1210</v>
      </c>
    </row>
    <row r="74" spans="2:12" ht="19.5" x14ac:dyDescent="0.3">
      <c r="B74" s="7" t="s">
        <v>26</v>
      </c>
      <c r="C74" s="8"/>
      <c r="D74" s="8"/>
      <c r="E74" s="8"/>
      <c r="F74" s="8"/>
      <c r="H74" s="17" t="s">
        <v>27</v>
      </c>
      <c r="I74" s="18"/>
      <c r="J74" s="18"/>
      <c r="K74" s="18"/>
      <c r="L74" s="18"/>
    </row>
    <row r="75" spans="2:12" x14ac:dyDescent="0.25">
      <c r="B75" s="9" t="s">
        <v>15</v>
      </c>
      <c r="H75" s="9" t="s">
        <v>15</v>
      </c>
    </row>
    <row r="76" spans="2:12" x14ac:dyDescent="0.25">
      <c r="B76" s="9"/>
      <c r="H76" s="9"/>
    </row>
    <row r="77" spans="2:12" ht="15.75" thickBot="1" x14ac:dyDescent="0.3">
      <c r="B77" s="4" t="s">
        <v>6</v>
      </c>
      <c r="C77" s="5"/>
      <c r="E77" s="4" t="s">
        <v>7</v>
      </c>
      <c r="F77" s="5"/>
      <c r="H77" s="4" t="s">
        <v>6</v>
      </c>
      <c r="I77" s="5"/>
      <c r="K77" s="4" t="s">
        <v>7</v>
      </c>
      <c r="L77" s="5"/>
    </row>
    <row r="78" spans="2:12" x14ac:dyDescent="0.25">
      <c r="B78" t="s">
        <v>10</v>
      </c>
      <c r="C78" s="2">
        <f>90+150</f>
        <v>240</v>
      </c>
      <c r="E78" t="s">
        <v>13</v>
      </c>
      <c r="F78" s="2">
        <f>20+90</f>
        <v>110</v>
      </c>
      <c r="H78" t="s">
        <v>10</v>
      </c>
      <c r="I78" s="2">
        <f>90+150</f>
        <v>240</v>
      </c>
      <c r="K78" t="s">
        <v>13</v>
      </c>
      <c r="L78" s="2">
        <f>20+90</f>
        <v>110</v>
      </c>
    </row>
    <row r="79" spans="2:12" x14ac:dyDescent="0.25">
      <c r="B79" t="s">
        <v>1</v>
      </c>
      <c r="C79" s="1"/>
      <c r="E79" t="s">
        <v>2</v>
      </c>
      <c r="F79" s="2">
        <v>100</v>
      </c>
      <c r="H79" t="s">
        <v>1</v>
      </c>
      <c r="I79" s="11">
        <f>L86-I78</f>
        <v>1570</v>
      </c>
      <c r="K79" t="s">
        <v>2</v>
      </c>
      <c r="L79" s="2">
        <v>100</v>
      </c>
    </row>
    <row r="80" spans="2:12" x14ac:dyDescent="0.25">
      <c r="B80" s="12" t="s">
        <v>12</v>
      </c>
      <c r="C80" s="2">
        <v>950</v>
      </c>
      <c r="E80" t="s">
        <v>3</v>
      </c>
      <c r="F80" s="14">
        <v>400</v>
      </c>
      <c r="H80" s="16" t="s">
        <v>22</v>
      </c>
      <c r="I80" s="2">
        <f>SUM(I78:I79)</f>
        <v>1810</v>
      </c>
      <c r="K80" t="s">
        <v>3</v>
      </c>
      <c r="L80" s="14">
        <v>400</v>
      </c>
    </row>
    <row r="81" spans="2:12" x14ac:dyDescent="0.25">
      <c r="B81" s="12" t="s">
        <v>11</v>
      </c>
      <c r="C81" s="11">
        <f>20+90</f>
        <v>110</v>
      </c>
      <c r="E81" t="s">
        <v>17</v>
      </c>
      <c r="F81" s="2">
        <f>SUM(F78:F80)</f>
        <v>610</v>
      </c>
      <c r="H81" s="12"/>
      <c r="I81" s="11"/>
      <c r="K81" t="s">
        <v>17</v>
      </c>
      <c r="L81" s="2">
        <f>SUM(L78:L80)</f>
        <v>610</v>
      </c>
    </row>
    <row r="82" spans="2:12" x14ac:dyDescent="0.25">
      <c r="B82" t="s">
        <v>16</v>
      </c>
      <c r="C82" s="10">
        <f>SUM(C78:C81)</f>
        <v>1300</v>
      </c>
      <c r="I82" s="10"/>
    </row>
    <row r="83" spans="2:12" ht="15.75" thickBot="1" x14ac:dyDescent="0.3">
      <c r="E83" s="4" t="s">
        <v>8</v>
      </c>
      <c r="F83" s="6"/>
      <c r="K83" s="4" t="s">
        <v>8</v>
      </c>
      <c r="L83" s="6"/>
    </row>
    <row r="84" spans="2:12" x14ac:dyDescent="0.25">
      <c r="E84" t="s">
        <v>5</v>
      </c>
      <c r="F84" s="2">
        <f>500+150</f>
        <v>650</v>
      </c>
      <c r="K84" t="s">
        <v>20</v>
      </c>
      <c r="L84" s="10">
        <v>1200</v>
      </c>
    </row>
    <row r="85" spans="2:12" x14ac:dyDescent="0.25">
      <c r="E85" t="s">
        <v>19</v>
      </c>
      <c r="F85" s="11">
        <v>40</v>
      </c>
    </row>
    <row r="86" spans="2:12" x14ac:dyDescent="0.25">
      <c r="E86" t="s">
        <v>20</v>
      </c>
      <c r="F86" s="10">
        <f>SUM(F84:F85)</f>
        <v>690</v>
      </c>
      <c r="K86" t="s">
        <v>18</v>
      </c>
      <c r="L86" s="15">
        <f>L81+L84</f>
        <v>1810</v>
      </c>
    </row>
    <row r="88" spans="2:12" x14ac:dyDescent="0.25">
      <c r="E88" t="s">
        <v>18</v>
      </c>
      <c r="F88" s="15">
        <f>F81+F86</f>
        <v>1300</v>
      </c>
    </row>
    <row r="90" spans="2:12" ht="19.5" x14ac:dyDescent="0.3">
      <c r="B90" s="7" t="s">
        <v>28</v>
      </c>
      <c r="C90" s="8"/>
      <c r="D90" s="8"/>
      <c r="E90" s="8"/>
      <c r="F90" s="8"/>
      <c r="H90" s="17" t="s">
        <v>29</v>
      </c>
      <c r="I90" s="18"/>
      <c r="J90" s="18"/>
      <c r="K90" s="18"/>
      <c r="L90" s="18"/>
    </row>
    <row r="91" spans="2:12" x14ac:dyDescent="0.25">
      <c r="B91" s="9" t="s">
        <v>15</v>
      </c>
      <c r="H91" s="9" t="s">
        <v>15</v>
      </c>
    </row>
    <row r="92" spans="2:12" x14ac:dyDescent="0.25">
      <c r="B92" s="9"/>
      <c r="H92" s="9"/>
    </row>
    <row r="93" spans="2:12" ht="15.75" thickBot="1" x14ac:dyDescent="0.3">
      <c r="B93" s="4" t="s">
        <v>6</v>
      </c>
      <c r="C93" s="5"/>
      <c r="E93" s="4" t="s">
        <v>7</v>
      </c>
      <c r="F93" s="5"/>
      <c r="H93" s="4" t="s">
        <v>6</v>
      </c>
      <c r="I93" s="5"/>
      <c r="K93" s="4" t="s">
        <v>7</v>
      </c>
      <c r="L93" s="5"/>
    </row>
    <row r="94" spans="2:12" x14ac:dyDescent="0.25">
      <c r="B94" t="s">
        <v>10</v>
      </c>
      <c r="C94" s="2">
        <f>90+150</f>
        <v>240</v>
      </c>
      <c r="E94" t="s">
        <v>13</v>
      </c>
      <c r="F94" s="2">
        <f>20+90</f>
        <v>110</v>
      </c>
      <c r="H94" t="s">
        <v>10</v>
      </c>
      <c r="I94" s="2">
        <f>90+150</f>
        <v>240</v>
      </c>
      <c r="K94" t="s">
        <v>13</v>
      </c>
      <c r="L94" s="2">
        <f>20+90</f>
        <v>110</v>
      </c>
    </row>
    <row r="95" spans="2:12" x14ac:dyDescent="0.25">
      <c r="B95" t="s">
        <v>1</v>
      </c>
      <c r="C95" s="1"/>
      <c r="E95" t="s">
        <v>2</v>
      </c>
      <c r="F95" s="2">
        <v>100</v>
      </c>
      <c r="H95" t="s">
        <v>1</v>
      </c>
      <c r="I95" s="11">
        <f>L103-I94</f>
        <v>2370</v>
      </c>
      <c r="K95" t="s">
        <v>2</v>
      </c>
      <c r="L95" s="2">
        <v>100</v>
      </c>
    </row>
    <row r="96" spans="2:12" x14ac:dyDescent="0.25">
      <c r="B96" s="12" t="s">
        <v>12</v>
      </c>
      <c r="C96" s="2">
        <f>950+20</f>
        <v>970</v>
      </c>
      <c r="E96" t="s">
        <v>3</v>
      </c>
      <c r="F96" s="13">
        <v>400</v>
      </c>
      <c r="H96" s="16" t="s">
        <v>22</v>
      </c>
      <c r="I96" s="2">
        <f>SUM(I94:I95)</f>
        <v>2610</v>
      </c>
      <c r="K96" t="s">
        <v>3</v>
      </c>
      <c r="L96" s="13">
        <v>400</v>
      </c>
    </row>
    <row r="97" spans="2:21" x14ac:dyDescent="0.25">
      <c r="B97" s="12" t="s">
        <v>11</v>
      </c>
      <c r="C97" s="2">
        <f>20+90</f>
        <v>110</v>
      </c>
      <c r="E97" t="s">
        <v>53</v>
      </c>
      <c r="F97" s="14">
        <v>200</v>
      </c>
      <c r="H97" s="12"/>
      <c r="I97" s="11"/>
      <c r="K97" t="s">
        <v>53</v>
      </c>
      <c r="L97" s="14">
        <v>200</v>
      </c>
    </row>
    <row r="98" spans="2:21" x14ac:dyDescent="0.25">
      <c r="B98" s="12" t="s">
        <v>30</v>
      </c>
      <c r="C98" s="11">
        <v>180</v>
      </c>
      <c r="E98" t="s">
        <v>17</v>
      </c>
      <c r="F98" s="2">
        <f>SUM(F94:F97)</f>
        <v>810</v>
      </c>
      <c r="I98" s="10"/>
      <c r="K98" t="s">
        <v>17</v>
      </c>
      <c r="L98" s="2">
        <f>SUM(L94:L97)</f>
        <v>810</v>
      </c>
    </row>
    <row r="99" spans="2:21" x14ac:dyDescent="0.25">
      <c r="B99" t="s">
        <v>16</v>
      </c>
      <c r="C99" s="10">
        <f>SUM(C94:C98)</f>
        <v>1500</v>
      </c>
    </row>
    <row r="100" spans="2:21" ht="15.75" thickBot="1" x14ac:dyDescent="0.3">
      <c r="E100" s="4" t="s">
        <v>8</v>
      </c>
      <c r="F100" s="6"/>
      <c r="K100" s="4" t="s">
        <v>8</v>
      </c>
      <c r="L100" s="6"/>
    </row>
    <row r="101" spans="2:21" x14ac:dyDescent="0.25">
      <c r="E101" t="s">
        <v>5</v>
      </c>
      <c r="F101" s="2">
        <f>500+150</f>
        <v>650</v>
      </c>
      <c r="K101" t="s">
        <v>20</v>
      </c>
      <c r="L101" s="10">
        <f>15*120</f>
        <v>1800</v>
      </c>
    </row>
    <row r="102" spans="2:21" x14ac:dyDescent="0.25">
      <c r="E102" t="s">
        <v>19</v>
      </c>
      <c r="F102" s="11">
        <v>40</v>
      </c>
    </row>
    <row r="103" spans="2:21" x14ac:dyDescent="0.25">
      <c r="E103" t="s">
        <v>20</v>
      </c>
      <c r="F103" s="10">
        <f>SUM(F101:F102)</f>
        <v>690</v>
      </c>
      <c r="K103" t="s">
        <v>18</v>
      </c>
      <c r="L103" s="15">
        <f>L98+L101</f>
        <v>2610</v>
      </c>
    </row>
    <row r="105" spans="2:21" x14ac:dyDescent="0.25">
      <c r="E105" t="s">
        <v>18</v>
      </c>
      <c r="F105" s="15">
        <f>F98+F103</f>
        <v>1500</v>
      </c>
    </row>
    <row r="107" spans="2:21" ht="19.5" x14ac:dyDescent="0.3">
      <c r="B107" s="7" t="s">
        <v>31</v>
      </c>
      <c r="C107" s="8"/>
      <c r="D107" s="8"/>
      <c r="E107" s="8"/>
      <c r="F107" s="8"/>
      <c r="H107" s="17" t="s">
        <v>32</v>
      </c>
      <c r="I107" s="18"/>
      <c r="J107" s="18"/>
      <c r="K107" s="18"/>
      <c r="L107" s="18"/>
      <c r="M107" s="18"/>
      <c r="O107" s="19" t="s">
        <v>34</v>
      </c>
      <c r="P107" s="20"/>
      <c r="Q107" s="20"/>
      <c r="R107" s="20"/>
      <c r="S107" s="20"/>
    </row>
    <row r="108" spans="2:21" x14ac:dyDescent="0.25">
      <c r="B108" s="9" t="s">
        <v>15</v>
      </c>
      <c r="H108" s="9" t="s">
        <v>15</v>
      </c>
      <c r="O108" s="9" t="s">
        <v>15</v>
      </c>
    </row>
    <row r="109" spans="2:21" x14ac:dyDescent="0.25">
      <c r="B109" s="9"/>
      <c r="H109" s="9"/>
      <c r="O109" s="9"/>
    </row>
    <row r="110" spans="2:21" ht="15.75" thickBot="1" x14ac:dyDescent="0.3">
      <c r="B110" s="4" t="s">
        <v>6</v>
      </c>
      <c r="C110" s="5"/>
      <c r="E110" s="4" t="s">
        <v>7</v>
      </c>
      <c r="F110" s="5"/>
      <c r="H110" s="4" t="s">
        <v>6</v>
      </c>
      <c r="I110" s="5"/>
      <c r="K110" s="4" t="s">
        <v>7</v>
      </c>
      <c r="L110" s="5"/>
      <c r="O110" s="4" t="s">
        <v>6</v>
      </c>
      <c r="P110" s="5"/>
      <c r="R110" s="4" t="s">
        <v>7</v>
      </c>
      <c r="S110" s="5"/>
    </row>
    <row r="111" spans="2:21" x14ac:dyDescent="0.25">
      <c r="B111" t="s">
        <v>10</v>
      </c>
      <c r="C111" s="2">
        <f>90+150</f>
        <v>240</v>
      </c>
      <c r="E111" t="s">
        <v>13</v>
      </c>
      <c r="F111" s="2">
        <f>20+90</f>
        <v>110</v>
      </c>
      <c r="H111" t="s">
        <v>10</v>
      </c>
      <c r="I111" s="2">
        <f>90+150</f>
        <v>240</v>
      </c>
      <c r="K111" t="s">
        <v>13</v>
      </c>
      <c r="L111" s="2">
        <f>20+90</f>
        <v>110</v>
      </c>
      <c r="M111" s="22" t="s">
        <v>33</v>
      </c>
      <c r="O111" t="s">
        <v>10</v>
      </c>
      <c r="P111" s="2">
        <f>90+150</f>
        <v>240</v>
      </c>
      <c r="R111" t="s">
        <v>13</v>
      </c>
      <c r="S111" s="2">
        <f>20+90</f>
        <v>110</v>
      </c>
      <c r="U111" s="22"/>
    </row>
    <row r="112" spans="2:21" x14ac:dyDescent="0.25">
      <c r="B112" t="s">
        <v>1</v>
      </c>
      <c r="C112" s="1"/>
      <c r="E112" t="s">
        <v>2</v>
      </c>
      <c r="F112" s="2">
        <v>100</v>
      </c>
      <c r="H112" t="s">
        <v>1</v>
      </c>
      <c r="I112" s="11">
        <f>L120-I111</f>
        <v>212</v>
      </c>
      <c r="K112" t="s">
        <v>2</v>
      </c>
      <c r="L112" s="2">
        <f>100*M112</f>
        <v>90</v>
      </c>
      <c r="M112" s="23">
        <v>0.9</v>
      </c>
      <c r="O112" t="s">
        <v>1</v>
      </c>
      <c r="P112" s="11">
        <f>$I$112</f>
        <v>212</v>
      </c>
      <c r="R112" t="s">
        <v>2</v>
      </c>
      <c r="S112" s="2">
        <f>100</f>
        <v>100</v>
      </c>
      <c r="U112" s="23"/>
    </row>
    <row r="113" spans="2:27" x14ac:dyDescent="0.25">
      <c r="B113" s="12" t="s">
        <v>12</v>
      </c>
      <c r="C113" s="2">
        <f>950+20</f>
        <v>970</v>
      </c>
      <c r="E113" t="s">
        <v>3</v>
      </c>
      <c r="F113" s="13">
        <v>400</v>
      </c>
      <c r="H113" s="16" t="s">
        <v>22</v>
      </c>
      <c r="I113" s="2">
        <f>SUM(I111:I112)</f>
        <v>452</v>
      </c>
      <c r="K113" t="s">
        <v>3</v>
      </c>
      <c r="L113" s="13">
        <f>400*M113</f>
        <v>200</v>
      </c>
      <c r="M113" s="23">
        <v>0.5</v>
      </c>
      <c r="O113" s="16" t="s">
        <v>22</v>
      </c>
      <c r="P113" s="2">
        <f>SUM(P111:P112)</f>
        <v>452</v>
      </c>
      <c r="R113" t="s">
        <v>3</v>
      </c>
      <c r="S113" s="13">
        <f>400</f>
        <v>400</v>
      </c>
      <c r="U113" s="23"/>
    </row>
    <row r="114" spans="2:27" x14ac:dyDescent="0.25">
      <c r="B114" s="12" t="s">
        <v>11</v>
      </c>
      <c r="C114" s="2">
        <f>20+90</f>
        <v>110</v>
      </c>
      <c r="E114" t="s">
        <v>53</v>
      </c>
      <c r="F114" s="14">
        <v>200</v>
      </c>
      <c r="H114" s="12"/>
      <c r="I114" s="11"/>
      <c r="K114" t="s">
        <v>53</v>
      </c>
      <c r="L114" s="14">
        <f>200*M114</f>
        <v>40</v>
      </c>
      <c r="M114" s="23">
        <v>0.2</v>
      </c>
      <c r="O114" s="12"/>
      <c r="P114" s="11"/>
      <c r="R114" t="s">
        <v>53</v>
      </c>
      <c r="S114" s="14">
        <f>200</f>
        <v>200</v>
      </c>
      <c r="U114" s="23"/>
    </row>
    <row r="115" spans="2:27" x14ac:dyDescent="0.25">
      <c r="B115" s="12" t="s">
        <v>30</v>
      </c>
      <c r="C115" s="11">
        <v>180</v>
      </c>
      <c r="E115" t="s">
        <v>17</v>
      </c>
      <c r="F115" s="2">
        <f>SUM(F111:F114)</f>
        <v>810</v>
      </c>
      <c r="I115" s="10"/>
      <c r="K115" t="s">
        <v>17</v>
      </c>
      <c r="L115" s="2">
        <f>SUM(L111:L114)</f>
        <v>440</v>
      </c>
      <c r="P115" s="10"/>
      <c r="R115" t="s">
        <v>17</v>
      </c>
      <c r="S115" s="2">
        <f>SUM(S111:S114)</f>
        <v>810</v>
      </c>
    </row>
    <row r="116" spans="2:27" x14ac:dyDescent="0.25">
      <c r="B116" t="s">
        <v>16</v>
      </c>
      <c r="C116" s="10">
        <f>SUM(C111:C115)</f>
        <v>1500</v>
      </c>
    </row>
    <row r="117" spans="2:27" ht="15.75" thickBot="1" x14ac:dyDescent="0.3">
      <c r="E117" s="4" t="s">
        <v>8</v>
      </c>
      <c r="F117" s="6"/>
      <c r="K117" s="4" t="s">
        <v>8</v>
      </c>
      <c r="L117" s="6"/>
      <c r="R117" s="4" t="s">
        <v>8</v>
      </c>
      <c r="S117" s="6"/>
    </row>
    <row r="118" spans="2:27" x14ac:dyDescent="0.25">
      <c r="E118" t="s">
        <v>5</v>
      </c>
      <c r="F118" s="2">
        <f>500+150</f>
        <v>650</v>
      </c>
      <c r="K118" t="s">
        <v>20</v>
      </c>
      <c r="L118" s="10">
        <f>0.1*120</f>
        <v>12</v>
      </c>
      <c r="R118" t="s">
        <v>20</v>
      </c>
      <c r="S118" s="10">
        <f>P113-S115</f>
        <v>-358</v>
      </c>
    </row>
    <row r="119" spans="2:27" x14ac:dyDescent="0.25">
      <c r="E119" t="s">
        <v>19</v>
      </c>
      <c r="F119" s="11">
        <v>40</v>
      </c>
    </row>
    <row r="120" spans="2:27" x14ac:dyDescent="0.25">
      <c r="E120" t="s">
        <v>20</v>
      </c>
      <c r="F120" s="10">
        <f>SUM(F118:F119)</f>
        <v>690</v>
      </c>
      <c r="K120" t="s">
        <v>18</v>
      </c>
      <c r="L120" s="15">
        <f>L115+L118</f>
        <v>452</v>
      </c>
      <c r="R120" t="s">
        <v>18</v>
      </c>
      <c r="S120" s="15">
        <f>S115+S118</f>
        <v>452</v>
      </c>
    </row>
    <row r="122" spans="2:27" x14ac:dyDescent="0.25">
      <c r="E122" t="s">
        <v>18</v>
      </c>
      <c r="F122" s="15">
        <f>F115+F120</f>
        <v>1500</v>
      </c>
      <c r="Z122">
        <f>213.8/S113</f>
        <v>0.53449999999999998</v>
      </c>
    </row>
    <row r="123" spans="2:27" ht="19.5" x14ac:dyDescent="0.3">
      <c r="O123" s="19" t="s">
        <v>44</v>
      </c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2:27" x14ac:dyDescent="0.25">
      <c r="O124" s="9" t="s">
        <v>15</v>
      </c>
    </row>
    <row r="125" spans="2:27" x14ac:dyDescent="0.25">
      <c r="O125" s="9"/>
    </row>
    <row r="126" spans="2:27" ht="30.75" thickBot="1" x14ac:dyDescent="0.3">
      <c r="O126" s="4" t="s">
        <v>6</v>
      </c>
      <c r="P126" s="5"/>
      <c r="R126" s="4" t="s">
        <v>7</v>
      </c>
      <c r="S126" s="5"/>
      <c r="U126" s="27" t="s">
        <v>42</v>
      </c>
      <c r="V126" s="27" t="s">
        <v>35</v>
      </c>
      <c r="W126" s="27" t="s">
        <v>38</v>
      </c>
      <c r="X126" s="27" t="s">
        <v>41</v>
      </c>
    </row>
    <row r="127" spans="2:27" x14ac:dyDescent="0.25">
      <c r="O127" t="s">
        <v>10</v>
      </c>
      <c r="P127" s="2">
        <f>90+150</f>
        <v>240</v>
      </c>
      <c r="R127" t="s">
        <v>13</v>
      </c>
      <c r="S127" s="2">
        <f>$S111*(1-U127)</f>
        <v>55</v>
      </c>
      <c r="U127" s="28">
        <v>0.5</v>
      </c>
      <c r="W127" s="26">
        <f>(($V$138*V127)+S127)/$S111</f>
        <v>0.5</v>
      </c>
      <c r="X127" s="26">
        <f>V127/$V$136</f>
        <v>0</v>
      </c>
      <c r="Z127" t="s">
        <v>49</v>
      </c>
    </row>
    <row r="128" spans="2:27" x14ac:dyDescent="0.25">
      <c r="O128" t="s">
        <v>1</v>
      </c>
      <c r="P128" s="11">
        <f>$I$112</f>
        <v>212</v>
      </c>
      <c r="R128" t="s">
        <v>2</v>
      </c>
      <c r="S128" s="2">
        <f>$S112*(1-U128)</f>
        <v>60</v>
      </c>
      <c r="U128" s="28">
        <v>0.4</v>
      </c>
      <c r="W128" s="26">
        <f>(($V$138*V128)+S128)/$S112</f>
        <v>0.6</v>
      </c>
      <c r="X128" s="26">
        <f>V128/$V$136</f>
        <v>0</v>
      </c>
      <c r="Z128" t="s">
        <v>3</v>
      </c>
      <c r="AA128" s="26">
        <v>0.55555555555555558</v>
      </c>
    </row>
    <row r="129" spans="15:27" x14ac:dyDescent="0.25">
      <c r="O129" s="16" t="s">
        <v>22</v>
      </c>
      <c r="P129" s="2">
        <f>SUM(P127:P128)</f>
        <v>452</v>
      </c>
      <c r="R129" t="s">
        <v>3</v>
      </c>
      <c r="S129" s="2">
        <f>$S113*(1-U129)</f>
        <v>160</v>
      </c>
      <c r="U129" s="28">
        <v>0.6</v>
      </c>
      <c r="V129">
        <v>400</v>
      </c>
      <c r="W129" s="26">
        <f>(($V$138*V129)+S129)/$S113</f>
        <v>0.53472222222222221</v>
      </c>
      <c r="X129" s="49">
        <f>V129/$V$136</f>
        <v>0.55555555555555558</v>
      </c>
      <c r="Z129" t="s">
        <v>53</v>
      </c>
      <c r="AA129" s="26">
        <v>0.27777777777777779</v>
      </c>
    </row>
    <row r="130" spans="15:27" x14ac:dyDescent="0.25">
      <c r="O130" s="12"/>
      <c r="P130" s="11"/>
      <c r="R130" t="s">
        <v>53</v>
      </c>
      <c r="S130" s="2">
        <f>$S114*(1-U130)</f>
        <v>80</v>
      </c>
      <c r="U130" s="28">
        <v>0.6</v>
      </c>
      <c r="V130">
        <v>200</v>
      </c>
      <c r="W130" s="26">
        <f>(($V$138*V130)+S130)/$S114</f>
        <v>0.53472222222222221</v>
      </c>
      <c r="X130" s="49">
        <f>V130/$V$136</f>
        <v>0.27777777777777779</v>
      </c>
      <c r="Z130" t="s">
        <v>74</v>
      </c>
      <c r="AA130" s="26">
        <v>0.16666666666666666</v>
      </c>
    </row>
    <row r="131" spans="15:27" x14ac:dyDescent="0.25">
      <c r="P131" s="10"/>
      <c r="R131" t="s">
        <v>17</v>
      </c>
      <c r="S131" s="2">
        <f>SUM(S127:S130)</f>
        <v>355</v>
      </c>
    </row>
    <row r="133" spans="15:27" ht="15.75" thickBot="1" x14ac:dyDescent="0.3">
      <c r="R133" s="4" t="s">
        <v>8</v>
      </c>
      <c r="S133" s="6"/>
      <c r="U133" s="5"/>
      <c r="V133" s="5"/>
      <c r="W133" s="5"/>
      <c r="X133" s="5"/>
    </row>
    <row r="134" spans="15:27" x14ac:dyDescent="0.25">
      <c r="R134" t="s">
        <v>20</v>
      </c>
      <c r="S134" s="10">
        <f>P129-S131</f>
        <v>97</v>
      </c>
      <c r="U134" t="s">
        <v>43</v>
      </c>
      <c r="V134">
        <v>120</v>
      </c>
      <c r="W134" t="s">
        <v>43</v>
      </c>
      <c r="X134" s="26">
        <f>V134/$V$136</f>
        <v>0.16666666666666666</v>
      </c>
    </row>
    <row r="135" spans="15:27" x14ac:dyDescent="0.25">
      <c r="V135" s="24" t="s">
        <v>36</v>
      </c>
    </row>
    <row r="136" spans="15:27" x14ac:dyDescent="0.25">
      <c r="R136" t="s">
        <v>18</v>
      </c>
      <c r="S136" s="15">
        <f>S131+S134</f>
        <v>452</v>
      </c>
      <c r="V136">
        <f>SUM(V127:V134)</f>
        <v>720</v>
      </c>
      <c r="X136" s="40">
        <f>V138*V130</f>
        <v>26.944444444444443</v>
      </c>
    </row>
    <row r="137" spans="15:27" x14ac:dyDescent="0.25">
      <c r="V137" s="24" t="s">
        <v>37</v>
      </c>
    </row>
    <row r="138" spans="15:27" x14ac:dyDescent="0.25">
      <c r="R138" t="s">
        <v>39</v>
      </c>
      <c r="V138" s="25">
        <f>S134/V136</f>
        <v>0.13472222222222222</v>
      </c>
    </row>
    <row r="139" spans="15:27" x14ac:dyDescent="0.25">
      <c r="R139" t="s">
        <v>40</v>
      </c>
    </row>
    <row r="141" spans="15:27" x14ac:dyDescent="0.25">
      <c r="R141" t="s">
        <v>47</v>
      </c>
      <c r="S141" s="10">
        <f>S134</f>
        <v>97</v>
      </c>
    </row>
    <row r="142" spans="15:27" x14ac:dyDescent="0.25">
      <c r="R142" t="s">
        <v>45</v>
      </c>
      <c r="S142" s="2">
        <f>(S128+S129+S130-P127)</f>
        <v>60</v>
      </c>
    </row>
    <row r="143" spans="15:27" x14ac:dyDescent="0.25">
      <c r="R143" t="s">
        <v>46</v>
      </c>
      <c r="S143" s="10">
        <f>(P128-S127)</f>
        <v>157</v>
      </c>
    </row>
    <row r="144" spans="15:27" x14ac:dyDescent="0.25">
      <c r="R144" t="s">
        <v>48</v>
      </c>
      <c r="S144" s="26">
        <f>S142/S143</f>
        <v>0.38216560509554143</v>
      </c>
    </row>
    <row r="146" spans="11:30" ht="19.5" x14ac:dyDescent="0.3">
      <c r="O146" s="19" t="s">
        <v>66</v>
      </c>
      <c r="P146" s="20"/>
      <c r="Q146" s="20"/>
      <c r="R146" s="20"/>
      <c r="S146" s="20"/>
      <c r="T146" s="20"/>
      <c r="U146" s="20"/>
      <c r="V146" s="20"/>
      <c r="W146" s="20"/>
      <c r="X146" s="20"/>
    </row>
    <row r="147" spans="11:30" x14ac:dyDescent="0.25">
      <c r="O147" s="9" t="s">
        <v>15</v>
      </c>
    </row>
    <row r="148" spans="11:30" x14ac:dyDescent="0.25">
      <c r="O148" s="9"/>
    </row>
    <row r="149" spans="11:30" ht="30.75" thickBot="1" x14ac:dyDescent="0.3">
      <c r="K149" s="54" t="s">
        <v>78</v>
      </c>
      <c r="L149" s="55"/>
      <c r="O149" s="4" t="s">
        <v>6</v>
      </c>
      <c r="P149" s="5"/>
      <c r="R149" s="4" t="s">
        <v>7</v>
      </c>
      <c r="S149" s="5"/>
      <c r="U149" s="27" t="s">
        <v>42</v>
      </c>
      <c r="V149" s="27" t="s">
        <v>35</v>
      </c>
      <c r="W149" s="27" t="s">
        <v>38</v>
      </c>
      <c r="X149" s="27" t="s">
        <v>41</v>
      </c>
      <c r="Z149" s="3" t="s">
        <v>72</v>
      </c>
      <c r="AA149" s="21" t="s">
        <v>60</v>
      </c>
      <c r="AB149" s="21" t="s">
        <v>56</v>
      </c>
      <c r="AC149" s="43" t="s">
        <v>55</v>
      </c>
      <c r="AD149" s="43" t="s">
        <v>57</v>
      </c>
    </row>
    <row r="150" spans="11:30" x14ac:dyDescent="0.25">
      <c r="K150" s="56">
        <v>1</v>
      </c>
      <c r="L150" s="57">
        <f>P128</f>
        <v>212</v>
      </c>
      <c r="O150" t="s">
        <v>10</v>
      </c>
      <c r="P150" s="2">
        <f>90+150</f>
        <v>240</v>
      </c>
      <c r="R150" t="s">
        <v>13</v>
      </c>
      <c r="S150" s="41">
        <f ca="1">AC164</f>
        <v>44.432786885245903</v>
      </c>
      <c r="U150" s="42">
        <f ca="1">(S111-S150)/$S111</f>
        <v>0.59606557377049174</v>
      </c>
      <c r="V150" s="30">
        <f>$S$167*AE164</f>
        <v>0</v>
      </c>
      <c r="W150" s="33">
        <f ca="1">AF164</f>
        <v>0.4039344262295082</v>
      </c>
      <c r="X150" s="31">
        <f>AE164</f>
        <v>0</v>
      </c>
      <c r="Z150" s="16" t="s">
        <v>50</v>
      </c>
      <c r="AA150" s="35">
        <v>100</v>
      </c>
      <c r="AB150" s="30">
        <f>MIN(AA150,AC150)</f>
        <v>100</v>
      </c>
      <c r="AC150" s="38">
        <f>P152</f>
        <v>452</v>
      </c>
      <c r="AD150" s="49">
        <f>AB150/AA150</f>
        <v>1</v>
      </c>
    </row>
    <row r="151" spans="11:30" x14ac:dyDescent="0.25">
      <c r="K151" s="58">
        <v>2</v>
      </c>
      <c r="L151" s="59">
        <v>300</v>
      </c>
      <c r="O151" t="s">
        <v>1</v>
      </c>
      <c r="P151" s="61">
        <v>212</v>
      </c>
      <c r="R151" t="s">
        <v>2</v>
      </c>
      <c r="S151" s="41">
        <f>AC162</f>
        <v>100</v>
      </c>
      <c r="U151" s="42">
        <f t="shared" ref="U151" si="0">(S112-S151)/$S112</f>
        <v>0</v>
      </c>
      <c r="V151" s="30">
        <f>$S$167*AE162</f>
        <v>0</v>
      </c>
      <c r="W151" s="33">
        <f>AF162</f>
        <v>1</v>
      </c>
      <c r="X151" s="31">
        <f>AE162</f>
        <v>0</v>
      </c>
      <c r="Z151" s="16" t="s">
        <v>51</v>
      </c>
      <c r="AA151" s="60">
        <v>100</v>
      </c>
      <c r="AB151" s="30">
        <f>MIN(AA151,AC151)</f>
        <v>100</v>
      </c>
      <c r="AC151" s="38">
        <f>AC150-AB150</f>
        <v>352</v>
      </c>
      <c r="AD151" s="49">
        <f t="shared" ref="AD151:AD152" si="1">AB151/AA151</f>
        <v>1</v>
      </c>
    </row>
    <row r="152" spans="11:30" x14ac:dyDescent="0.25">
      <c r="O152" s="16" t="s">
        <v>22</v>
      </c>
      <c r="P152" s="2">
        <f>SUM(P150:P151)</f>
        <v>452</v>
      </c>
      <c r="R152" t="s">
        <v>3</v>
      </c>
      <c r="S152" s="41">
        <f ca="1">AC163</f>
        <v>114.78032786885247</v>
      </c>
      <c r="U152" s="42">
        <f ca="1">(S113-S152)/$S113</f>
        <v>0.7130491803278689</v>
      </c>
      <c r="V152" s="30">
        <f>S167-V157</f>
        <v>2280</v>
      </c>
      <c r="W152" s="33">
        <f ca="1">AF163</f>
        <v>0.55295081967213122</v>
      </c>
      <c r="X152" s="33">
        <f ca="1">AE163</f>
        <v>0.95000000000000018</v>
      </c>
      <c r="Z152" s="16" t="s">
        <v>54</v>
      </c>
      <c r="AA152" s="37">
        <f>SUM(AA156:AA158)</f>
        <v>610</v>
      </c>
      <c r="AB152" s="39">
        <f>MIN(AA152,AC152)</f>
        <v>252</v>
      </c>
      <c r="AC152" s="38">
        <f>AC151-AB151</f>
        <v>252</v>
      </c>
      <c r="AD152" s="49">
        <f t="shared" si="1"/>
        <v>0.41311475409836068</v>
      </c>
    </row>
    <row r="153" spans="11:30" x14ac:dyDescent="0.25">
      <c r="O153" s="12"/>
      <c r="P153" s="11"/>
      <c r="R153" t="s">
        <v>53</v>
      </c>
      <c r="S153" s="41">
        <f ca="1">AC165</f>
        <v>80.786885245901644</v>
      </c>
      <c r="U153" s="42">
        <f ca="1">(S114-S153)/$S114</f>
        <v>0.59606557377049174</v>
      </c>
      <c r="V153" s="30">
        <f>$S$167*AE165</f>
        <v>0</v>
      </c>
      <c r="W153" s="33">
        <f ca="1">AF165</f>
        <v>0.4039344262295082</v>
      </c>
      <c r="X153" s="31">
        <f>AE165</f>
        <v>0</v>
      </c>
      <c r="Z153" s="12" t="s">
        <v>69</v>
      </c>
      <c r="AA153" s="36">
        <f>SUM(AA150:AA152)</f>
        <v>810</v>
      </c>
      <c r="AB153" s="10">
        <f>SUM(AB150:AB152)</f>
        <v>452</v>
      </c>
    </row>
    <row r="154" spans="11:30" x14ac:dyDescent="0.25">
      <c r="P154" s="10"/>
      <c r="R154" t="s">
        <v>17</v>
      </c>
      <c r="S154" s="30">
        <f ca="1">SUM(S150:S153)</f>
        <v>340</v>
      </c>
    </row>
    <row r="155" spans="11:30" x14ac:dyDescent="0.25">
      <c r="Z155" s="3" t="s">
        <v>61</v>
      </c>
      <c r="AA155" s="21" t="s">
        <v>62</v>
      </c>
      <c r="AB155" s="21" t="s">
        <v>56</v>
      </c>
      <c r="AC155" s="21" t="s">
        <v>65</v>
      </c>
      <c r="AD155" s="43" t="s">
        <v>73</v>
      </c>
    </row>
    <row r="156" spans="11:30" ht="30.75" thickBot="1" x14ac:dyDescent="0.3">
      <c r="R156" s="4" t="s">
        <v>8</v>
      </c>
      <c r="S156" s="6"/>
      <c r="U156" s="27" t="s">
        <v>42</v>
      </c>
      <c r="V156" s="27" t="s">
        <v>35</v>
      </c>
      <c r="W156" s="27" t="s">
        <v>38</v>
      </c>
      <c r="X156" s="27" t="s">
        <v>41</v>
      </c>
      <c r="Z156" t="s">
        <v>52</v>
      </c>
      <c r="AA156" s="30">
        <f>S113-AA151</f>
        <v>300</v>
      </c>
      <c r="AB156" s="30">
        <f ca="1">AA156*($AB$152/$AA$152)-AC156</f>
        <v>121.18032786885247</v>
      </c>
      <c r="AC156" s="30">
        <f ca="1">$AA$170*AB156/SUM($AB$156:$AB$158)</f>
        <v>2.7540983606557377</v>
      </c>
      <c r="AD156" s="49">
        <f ca="1">AB156/AA156</f>
        <v>0.40393442622950826</v>
      </c>
    </row>
    <row r="157" spans="11:30" x14ac:dyDescent="0.25">
      <c r="R157" t="s">
        <v>20</v>
      </c>
      <c r="S157" s="30">
        <f ca="1">P152-S154</f>
        <v>112</v>
      </c>
      <c r="U157" s="52" t="s">
        <v>43</v>
      </c>
      <c r="V157" s="32">
        <v>120</v>
      </c>
      <c r="W157" s="52" t="s">
        <v>43</v>
      </c>
      <c r="X157" s="31">
        <f>V157/$S$167</f>
        <v>0.05</v>
      </c>
      <c r="Z157" t="s">
        <v>13</v>
      </c>
      <c r="AA157" s="35">
        <v>110</v>
      </c>
      <c r="AB157" s="30">
        <f ca="1">AA157*($AB$152/$AA$152)-AC157</f>
        <v>44.432786885245903</v>
      </c>
      <c r="AC157" s="30">
        <f ca="1">$AA$170*AB157/SUM($AB$156:$AB$158)</f>
        <v>1.0098360655737704</v>
      </c>
      <c r="AD157" s="49">
        <f ca="1">AB157/AA157</f>
        <v>0.4039344262295082</v>
      </c>
    </row>
    <row r="158" spans="11:30" x14ac:dyDescent="0.25">
      <c r="Z158" t="s">
        <v>53</v>
      </c>
      <c r="AA158" s="44">
        <v>200</v>
      </c>
      <c r="AB158" s="39">
        <f ca="1">AA158*($AB$152/$AA$152)-AC158</f>
        <v>80.786885245901644</v>
      </c>
      <c r="AC158" s="39">
        <f ca="1">$AA$170*AB158/SUM($AB$156:$AB$158)</f>
        <v>1.8360655737704918</v>
      </c>
      <c r="AD158" s="49">
        <f ca="1">AB158/AA158</f>
        <v>0.4039344262295082</v>
      </c>
    </row>
    <row r="159" spans="11:30" x14ac:dyDescent="0.25">
      <c r="R159" t="s">
        <v>18</v>
      </c>
      <c r="S159" s="34">
        <f ca="1">S154+S157</f>
        <v>452</v>
      </c>
      <c r="Z159" s="9" t="s">
        <v>63</v>
      </c>
      <c r="AA159" s="30">
        <f>SUM(AA156:AA158)</f>
        <v>610</v>
      </c>
      <c r="AB159" s="10">
        <f ca="1">SUM(AB156:AB158)</f>
        <v>246.40000000000003</v>
      </c>
      <c r="AC159" s="10">
        <f ca="1">SUM(AC156:AC158)</f>
        <v>5.6</v>
      </c>
      <c r="AD159" s="2"/>
    </row>
    <row r="160" spans="11:30" x14ac:dyDescent="0.25">
      <c r="V160" s="24"/>
    </row>
    <row r="161" spans="18:32" ht="30" x14ac:dyDescent="0.25">
      <c r="R161" t="s">
        <v>47</v>
      </c>
      <c r="S161" s="30">
        <f ca="1">S157</f>
        <v>112</v>
      </c>
      <c r="Z161" s="3" t="s">
        <v>68</v>
      </c>
      <c r="AA161" s="21" t="s">
        <v>62</v>
      </c>
      <c r="AB161" s="21" t="s">
        <v>56</v>
      </c>
      <c r="AC161" s="21" t="s">
        <v>0</v>
      </c>
      <c r="AD161" s="21" t="s">
        <v>4</v>
      </c>
      <c r="AE161" s="21" t="s">
        <v>76</v>
      </c>
      <c r="AF161" s="51" t="s">
        <v>77</v>
      </c>
    </row>
    <row r="162" spans="18:32" x14ac:dyDescent="0.25">
      <c r="R162" t="s">
        <v>45</v>
      </c>
      <c r="S162" s="30">
        <f ca="1">(S151+S152+S153-P150)</f>
        <v>55.567213114754111</v>
      </c>
      <c r="Z162" t="s">
        <v>59</v>
      </c>
      <c r="AA162" s="30">
        <f>AA150</f>
        <v>100</v>
      </c>
      <c r="AB162" s="30">
        <f>AB150</f>
        <v>100</v>
      </c>
      <c r="AC162" s="30">
        <f>AB162</f>
        <v>100</v>
      </c>
      <c r="AD162" s="35">
        <v>0</v>
      </c>
      <c r="AE162" s="42">
        <f>AD162/$AA$169</f>
        <v>0</v>
      </c>
      <c r="AF162" s="33">
        <f>AB162/AA162</f>
        <v>1</v>
      </c>
    </row>
    <row r="163" spans="18:32" x14ac:dyDescent="0.25">
      <c r="R163" t="s">
        <v>46</v>
      </c>
      <c r="S163" s="30">
        <f ca="1">(P151-S150)</f>
        <v>167.56721311475411</v>
      </c>
      <c r="Z163" t="s">
        <v>58</v>
      </c>
      <c r="AA163" s="30">
        <f>AA151+AA156</f>
        <v>400</v>
      </c>
      <c r="AB163" s="30">
        <f ca="1">AB151+AB156</f>
        <v>221.18032786885249</v>
      </c>
      <c r="AC163" s="30">
        <f ca="1">AA168-AC162-AC164-AC165</f>
        <v>114.78032786885247</v>
      </c>
      <c r="AD163" s="30">
        <f ca="1">AB163-AC163</f>
        <v>106.40000000000002</v>
      </c>
      <c r="AE163" s="42">
        <f ca="1">AD163/$AA$169</f>
        <v>0.95000000000000018</v>
      </c>
      <c r="AF163" s="33">
        <f ca="1">AB163/AA163</f>
        <v>0.55295081967213122</v>
      </c>
    </row>
    <row r="164" spans="18:32" x14ac:dyDescent="0.25">
      <c r="R164" t="s">
        <v>48</v>
      </c>
      <c r="S164" s="31">
        <f ca="1">S162/S163</f>
        <v>0.33161148939500668</v>
      </c>
      <c r="W164" s="40"/>
      <c r="Z164" t="s">
        <v>13</v>
      </c>
      <c r="AA164" s="30">
        <f>AA157</f>
        <v>110</v>
      </c>
      <c r="AB164" s="30">
        <f ca="1">AB157</f>
        <v>44.432786885245903</v>
      </c>
      <c r="AC164" s="30">
        <f ca="1">AB164</f>
        <v>44.432786885245903</v>
      </c>
      <c r="AD164" s="35">
        <v>0</v>
      </c>
      <c r="AE164" s="42">
        <f>AD164/$AA$169</f>
        <v>0</v>
      </c>
      <c r="AF164" s="33">
        <f ca="1">AB164/AA164</f>
        <v>0.4039344262295082</v>
      </c>
    </row>
    <row r="165" spans="18:32" x14ac:dyDescent="0.25">
      <c r="Z165" t="s">
        <v>53</v>
      </c>
      <c r="AA165" s="37">
        <f>AA158</f>
        <v>200</v>
      </c>
      <c r="AB165" s="39">
        <f ca="1">AB158</f>
        <v>80.786885245901644</v>
      </c>
      <c r="AC165" s="37">
        <f ca="1">AB165</f>
        <v>80.786885245901644</v>
      </c>
      <c r="AD165" s="44">
        <v>0</v>
      </c>
      <c r="AE165" s="42">
        <f>AD165/$AA$169</f>
        <v>0</v>
      </c>
      <c r="AF165" s="33">
        <f ca="1">AB165/AA165</f>
        <v>0.4039344262295082</v>
      </c>
    </row>
    <row r="166" spans="18:32" x14ac:dyDescent="0.25">
      <c r="Z166" t="s">
        <v>63</v>
      </c>
      <c r="AA166" s="30">
        <f>SUM(AA162:AA165)</f>
        <v>810</v>
      </c>
      <c r="AB166" s="30">
        <f ca="1">SUM(AB162:AB165)</f>
        <v>446.40000000000003</v>
      </c>
      <c r="AC166" s="10">
        <f ca="1">SUM(AC162:AC165)</f>
        <v>340</v>
      </c>
      <c r="AD166" s="45">
        <f ca="1">SUM(AD162:AD165)</f>
        <v>106.40000000000002</v>
      </c>
    </row>
    <row r="167" spans="18:32" x14ac:dyDescent="0.25">
      <c r="R167" s="53" t="s">
        <v>36</v>
      </c>
      <c r="S167" s="63">
        <f>V157/AB170</f>
        <v>2400</v>
      </c>
    </row>
    <row r="168" spans="18:32" x14ac:dyDescent="0.25">
      <c r="Z168" s="29" t="s">
        <v>64</v>
      </c>
      <c r="AA168" s="62">
        <f>IF(P151=L150,340,380)</f>
        <v>340</v>
      </c>
      <c r="AB168" s="29"/>
    </row>
    <row r="169" spans="18:32" x14ac:dyDescent="0.25">
      <c r="Z169" s="29" t="s">
        <v>71</v>
      </c>
      <c r="AA169" s="36">
        <f>AC150-AA168</f>
        <v>112</v>
      </c>
      <c r="AB169" s="46"/>
    </row>
    <row r="170" spans="18:32" x14ac:dyDescent="0.25">
      <c r="Z170" s="47" t="s">
        <v>70</v>
      </c>
      <c r="AA170" s="36">
        <f>AA169*AB170</f>
        <v>5.6000000000000005</v>
      </c>
      <c r="AB170" s="48">
        <v>0.05</v>
      </c>
    </row>
    <row r="171" spans="18:32" x14ac:dyDescent="0.25">
      <c r="Z171" s="47" t="s">
        <v>60</v>
      </c>
      <c r="AA171" s="36">
        <f>AA169-AA170</f>
        <v>106.4</v>
      </c>
      <c r="AB171" s="46">
        <f>1-AB170</f>
        <v>0.95</v>
      </c>
    </row>
    <row r="173" spans="18:32" x14ac:dyDescent="0.25">
      <c r="Z173" s="9" t="s">
        <v>67</v>
      </c>
    </row>
  </sheetData>
  <dataValidations count="2">
    <dataValidation type="list" allowBlank="1" showInputMessage="1" showErrorMessage="1" sqref="P151">
      <formula1>$L$150:$L$151</formula1>
    </dataValidation>
    <dataValidation type="list" allowBlank="1" showInputMessage="1" showErrorMessage="1" sqref="AA151">
      <formula1>"100,140"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58"/>
  <sheetViews>
    <sheetView workbookViewId="0">
      <selection activeCell="K43" sqref="K43"/>
    </sheetView>
  </sheetViews>
  <sheetFormatPr defaultRowHeight="15" x14ac:dyDescent="0.25"/>
  <cols>
    <col min="3" max="3" width="30.7109375" customWidth="1"/>
    <col min="4" max="4" width="9.85546875" bestFit="1" customWidth="1"/>
  </cols>
  <sheetData>
    <row r="3" spans="3:9" ht="19.5" thickBot="1" x14ac:dyDescent="0.35">
      <c r="C3" s="69" t="s">
        <v>87</v>
      </c>
      <c r="D3" s="70"/>
      <c r="E3" s="70"/>
      <c r="F3" s="70"/>
      <c r="G3" s="70"/>
      <c r="H3" s="70"/>
      <c r="I3" s="70"/>
    </row>
    <row r="4" spans="3:9" ht="15.75" thickTop="1" x14ac:dyDescent="0.25">
      <c r="D4" s="74" t="s">
        <v>90</v>
      </c>
      <c r="E4" s="73"/>
      <c r="F4" s="73"/>
      <c r="G4" s="73"/>
      <c r="H4" s="73"/>
      <c r="I4" s="73"/>
    </row>
    <row r="5" spans="3:9" x14ac:dyDescent="0.25">
      <c r="C5" s="68" t="s">
        <v>15</v>
      </c>
      <c r="D5" s="67">
        <v>2017</v>
      </c>
      <c r="E5" s="67">
        <f>D5+1</f>
        <v>2018</v>
      </c>
      <c r="F5" s="67">
        <f t="shared" ref="F5:I5" si="0">E5+1</f>
        <v>2019</v>
      </c>
      <c r="G5" s="67">
        <f t="shared" si="0"/>
        <v>2020</v>
      </c>
      <c r="H5" s="67">
        <f t="shared" si="0"/>
        <v>2021</v>
      </c>
      <c r="I5" s="67">
        <f t="shared" si="0"/>
        <v>2022</v>
      </c>
    </row>
    <row r="6" spans="3:9" x14ac:dyDescent="0.25">
      <c r="C6" t="s">
        <v>75</v>
      </c>
      <c r="D6" s="64">
        <v>221</v>
      </c>
      <c r="E6" s="64">
        <f>D6*(1+E11)</f>
        <v>251.03883495145629</v>
      </c>
      <c r="F6" s="64">
        <f>E6*(1+F11)</f>
        <v>289.66019417475724</v>
      </c>
      <c r="G6" s="64">
        <f>F6*(1+G11)</f>
        <v>311.11650485436894</v>
      </c>
      <c r="H6" s="64">
        <f>G6*(1+H11)</f>
        <v>377.63106796116506</v>
      </c>
      <c r="I6" s="64">
        <f>H6*(1+I11)</f>
        <v>437.7087378640777</v>
      </c>
    </row>
    <row r="7" spans="3:9" x14ac:dyDescent="0.25">
      <c r="C7" t="s">
        <v>80</v>
      </c>
      <c r="D7" s="64">
        <f t="shared" ref="D7:I7" si="1">D6*D12</f>
        <v>66.3</v>
      </c>
      <c r="E7" s="64">
        <f t="shared" si="1"/>
        <v>75.311650485436886</v>
      </c>
      <c r="F7" s="64">
        <f t="shared" si="1"/>
        <v>86.898058252427163</v>
      </c>
      <c r="G7" s="64">
        <f t="shared" si="1"/>
        <v>93.334951456310677</v>
      </c>
      <c r="H7" s="64">
        <f t="shared" si="1"/>
        <v>113.28932038834951</v>
      </c>
      <c r="I7" s="64">
        <f t="shared" si="1"/>
        <v>131.3126213592233</v>
      </c>
    </row>
    <row r="8" spans="3:9" x14ac:dyDescent="0.25">
      <c r="C8" t="s">
        <v>84</v>
      </c>
      <c r="D8" s="64">
        <f t="shared" ref="D8:I8" si="2">D6*0.05</f>
        <v>11.05</v>
      </c>
      <c r="E8" s="64">
        <f t="shared" si="2"/>
        <v>12.551941747572815</v>
      </c>
      <c r="F8" s="64">
        <f t="shared" si="2"/>
        <v>14.483009708737862</v>
      </c>
      <c r="G8" s="64">
        <f t="shared" si="2"/>
        <v>15.555825242718448</v>
      </c>
      <c r="H8" s="64">
        <f t="shared" si="2"/>
        <v>18.881553398058255</v>
      </c>
      <c r="I8" s="64">
        <f t="shared" si="2"/>
        <v>21.885436893203888</v>
      </c>
    </row>
    <row r="9" spans="3:9" x14ac:dyDescent="0.25">
      <c r="C9" s="3" t="s">
        <v>81</v>
      </c>
      <c r="D9" s="65">
        <f t="shared" ref="D9:I9" si="3">D7*(1-D13)+D8</f>
        <v>54.144999999999996</v>
      </c>
      <c r="E9" s="65">
        <f t="shared" si="3"/>
        <v>61.504514563106795</v>
      </c>
      <c r="F9" s="65">
        <f t="shared" si="3"/>
        <v>70.966747572815521</v>
      </c>
      <c r="G9" s="65">
        <f t="shared" si="3"/>
        <v>76.223543689320394</v>
      </c>
      <c r="H9" s="65">
        <f t="shared" si="3"/>
        <v>92.519611650485444</v>
      </c>
      <c r="I9" s="65">
        <f t="shared" si="3"/>
        <v>107.23864077669904</v>
      </c>
    </row>
    <row r="11" spans="3:9" x14ac:dyDescent="0.25">
      <c r="C11" t="s">
        <v>79</v>
      </c>
      <c r="E11" s="71">
        <v>0.13592233009708732</v>
      </c>
      <c r="F11" s="71">
        <v>0.15384615384615374</v>
      </c>
      <c r="G11" s="71">
        <v>7.4074074074074181E-2</v>
      </c>
      <c r="H11" s="71">
        <v>0.21379310344827585</v>
      </c>
      <c r="I11" s="71">
        <v>0.15909090909090917</v>
      </c>
    </row>
    <row r="12" spans="3:9" x14ac:dyDescent="0.25">
      <c r="C12" t="s">
        <v>82</v>
      </c>
      <c r="D12" s="71">
        <v>0.3</v>
      </c>
      <c r="E12" s="50">
        <f>D12</f>
        <v>0.3</v>
      </c>
      <c r="F12" s="50">
        <f t="shared" ref="F12:I12" si="4">E12</f>
        <v>0.3</v>
      </c>
      <c r="G12" s="50">
        <f t="shared" si="4"/>
        <v>0.3</v>
      </c>
      <c r="H12" s="50">
        <f t="shared" si="4"/>
        <v>0.3</v>
      </c>
      <c r="I12" s="50">
        <f t="shared" si="4"/>
        <v>0.3</v>
      </c>
    </row>
    <row r="13" spans="3:9" x14ac:dyDescent="0.25">
      <c r="C13" t="s">
        <v>83</v>
      </c>
      <c r="D13" s="71">
        <v>0.35</v>
      </c>
      <c r="E13" s="50">
        <f>D13</f>
        <v>0.35</v>
      </c>
      <c r="F13" s="50">
        <f t="shared" ref="F13:I13" si="5">E13</f>
        <v>0.35</v>
      </c>
      <c r="G13" s="50">
        <f t="shared" si="5"/>
        <v>0.35</v>
      </c>
      <c r="H13" s="50">
        <f t="shared" si="5"/>
        <v>0.35</v>
      </c>
      <c r="I13" s="50">
        <f t="shared" si="5"/>
        <v>0.35</v>
      </c>
    </row>
    <row r="15" spans="3:9" x14ac:dyDescent="0.25">
      <c r="C15" t="s">
        <v>86</v>
      </c>
      <c r="D15" s="71">
        <v>0.1</v>
      </c>
      <c r="F15" t="s">
        <v>88</v>
      </c>
      <c r="I15" s="64">
        <f>NPV(D15,D9:I9)</f>
        <v>323.41379506411158</v>
      </c>
    </row>
    <row r="16" spans="3:9" x14ac:dyDescent="0.25">
      <c r="C16" t="s">
        <v>85</v>
      </c>
      <c r="D16" s="72">
        <v>8</v>
      </c>
      <c r="F16" t="s">
        <v>89</v>
      </c>
      <c r="I16" s="64">
        <f>((I7+I8)*D16)/(1+D15)^(I5-D5-1)</f>
        <v>837.09068097767715</v>
      </c>
    </row>
    <row r="18" spans="3:9" x14ac:dyDescent="0.25">
      <c r="C18" s="53" t="s">
        <v>46</v>
      </c>
      <c r="D18" s="66">
        <f>SUM(I15:I16)</f>
        <v>1160.5044760417886</v>
      </c>
    </row>
    <row r="19" spans="3:9" x14ac:dyDescent="0.25">
      <c r="C19" t="s">
        <v>45</v>
      </c>
      <c r="D19">
        <f>Sheet1!$L$47+Sheet1!$L$48-Sheet1!$I$46</f>
        <v>260</v>
      </c>
    </row>
    <row r="20" spans="3:9" x14ac:dyDescent="0.25">
      <c r="C20" s="3" t="s">
        <v>47</v>
      </c>
      <c r="D20" s="65">
        <f>D18-D19</f>
        <v>900.50447604178862</v>
      </c>
    </row>
    <row r="22" spans="3:9" ht="19.5" thickBot="1" x14ac:dyDescent="0.35">
      <c r="C22" s="69" t="s">
        <v>87</v>
      </c>
      <c r="D22" s="70"/>
      <c r="E22" s="70"/>
      <c r="F22" s="70"/>
      <c r="G22" s="70"/>
      <c r="H22" s="70"/>
      <c r="I22" s="70"/>
    </row>
    <row r="23" spans="3:9" ht="15.75" thickTop="1" x14ac:dyDescent="0.25">
      <c r="D23" s="74" t="s">
        <v>90</v>
      </c>
      <c r="E23" s="73"/>
      <c r="F23" s="73"/>
      <c r="G23" s="73"/>
      <c r="H23" s="73"/>
      <c r="I23" s="73"/>
    </row>
    <row r="24" spans="3:9" x14ac:dyDescent="0.25">
      <c r="C24" s="68" t="s">
        <v>15</v>
      </c>
      <c r="D24" s="67">
        <v>2017</v>
      </c>
      <c r="E24" s="67">
        <f>D24+1</f>
        <v>2018</v>
      </c>
      <c r="F24" s="67">
        <f t="shared" ref="F24:I24" si="6">E24+1</f>
        <v>2019</v>
      </c>
      <c r="G24" s="67">
        <f t="shared" si="6"/>
        <v>2020</v>
      </c>
      <c r="H24" s="67">
        <f t="shared" si="6"/>
        <v>2021</v>
      </c>
      <c r="I24" s="67">
        <f t="shared" si="6"/>
        <v>2022</v>
      </c>
    </row>
    <row r="25" spans="3:9" x14ac:dyDescent="0.25">
      <c r="C25" t="s">
        <v>75</v>
      </c>
      <c r="D25" s="64">
        <v>221</v>
      </c>
      <c r="E25" s="64">
        <f>D25*(1+E30)</f>
        <v>260.77999999999997</v>
      </c>
      <c r="F25" s="64">
        <f>E25*(1+F30)</f>
        <v>307.72039999999993</v>
      </c>
      <c r="G25" s="64">
        <f>F25*(1+G30)</f>
        <v>363.11007199999989</v>
      </c>
      <c r="H25" s="64">
        <f>G25*(1+H30)</f>
        <v>428.46988495999983</v>
      </c>
      <c r="I25" s="64">
        <f>H25*(1+I30)</f>
        <v>505.59446425279975</v>
      </c>
    </row>
    <row r="26" spans="3:9" x14ac:dyDescent="0.25">
      <c r="C26" t="s">
        <v>80</v>
      </c>
      <c r="D26" s="64">
        <f t="shared" ref="D26:I26" si="7">D25*D31</f>
        <v>75.14</v>
      </c>
      <c r="E26" s="64">
        <f t="shared" si="7"/>
        <v>88.665199999999999</v>
      </c>
      <c r="F26" s="64">
        <f t="shared" si="7"/>
        <v>104.62493599999998</v>
      </c>
      <c r="G26" s="64">
        <f t="shared" si="7"/>
        <v>123.45742447999997</v>
      </c>
      <c r="H26" s="64">
        <f t="shared" si="7"/>
        <v>145.67976088639995</v>
      </c>
      <c r="I26" s="64">
        <f t="shared" si="7"/>
        <v>171.90211784595192</v>
      </c>
    </row>
    <row r="27" spans="3:9" x14ac:dyDescent="0.25">
      <c r="C27" t="s">
        <v>84</v>
      </c>
      <c r="D27" s="64">
        <f t="shared" ref="D27:I27" si="8">D25*0.05</f>
        <v>11.05</v>
      </c>
      <c r="E27" s="64">
        <f t="shared" si="8"/>
        <v>13.039</v>
      </c>
      <c r="F27" s="64">
        <f t="shared" si="8"/>
        <v>15.386019999999997</v>
      </c>
      <c r="G27" s="64">
        <f t="shared" si="8"/>
        <v>18.155503599999996</v>
      </c>
      <c r="H27" s="64">
        <f t="shared" si="8"/>
        <v>21.423494247999994</v>
      </c>
      <c r="I27" s="64">
        <f t="shared" si="8"/>
        <v>25.27972321263999</v>
      </c>
    </row>
    <row r="28" spans="3:9" x14ac:dyDescent="0.25">
      <c r="C28" s="3" t="s">
        <v>81</v>
      </c>
      <c r="D28" s="65">
        <f t="shared" ref="D28:I28" si="9">D26*(1-D32)+D27</f>
        <v>59.891000000000005</v>
      </c>
      <c r="E28" s="65">
        <f t="shared" si="9"/>
        <v>70.671379999999999</v>
      </c>
      <c r="F28" s="65">
        <f t="shared" si="9"/>
        <v>83.392228399999993</v>
      </c>
      <c r="G28" s="65">
        <f t="shared" si="9"/>
        <v>98.402829511999983</v>
      </c>
      <c r="H28" s="65">
        <f t="shared" si="9"/>
        <v>116.11533882415996</v>
      </c>
      <c r="I28" s="65">
        <f t="shared" si="9"/>
        <v>137.01609981250874</v>
      </c>
    </row>
    <row r="30" spans="3:9" x14ac:dyDescent="0.25">
      <c r="C30" t="s">
        <v>79</v>
      </c>
      <c r="E30" s="71">
        <v>0.18</v>
      </c>
      <c r="F30" s="71">
        <v>0.18</v>
      </c>
      <c r="G30" s="71">
        <v>0.18</v>
      </c>
      <c r="H30" s="71">
        <v>0.18</v>
      </c>
      <c r="I30" s="71">
        <v>0.18</v>
      </c>
    </row>
    <row r="31" spans="3:9" x14ac:dyDescent="0.25">
      <c r="C31" t="s">
        <v>82</v>
      </c>
      <c r="D31" s="71">
        <v>0.34</v>
      </c>
      <c r="E31" s="50">
        <f>D31</f>
        <v>0.34</v>
      </c>
      <c r="F31" s="50">
        <f t="shared" ref="F31:I31" si="10">E31</f>
        <v>0.34</v>
      </c>
      <c r="G31" s="50">
        <f t="shared" si="10"/>
        <v>0.34</v>
      </c>
      <c r="H31" s="50">
        <f t="shared" si="10"/>
        <v>0.34</v>
      </c>
      <c r="I31" s="50">
        <f t="shared" si="10"/>
        <v>0.34</v>
      </c>
    </row>
    <row r="32" spans="3:9" x14ac:dyDescent="0.25">
      <c r="C32" t="s">
        <v>83</v>
      </c>
      <c r="D32" s="71">
        <v>0.35</v>
      </c>
      <c r="E32" s="50">
        <f>D32</f>
        <v>0.35</v>
      </c>
      <c r="F32" s="50">
        <f t="shared" ref="F32:I32" si="11">E32</f>
        <v>0.35</v>
      </c>
      <c r="G32" s="50">
        <f t="shared" si="11"/>
        <v>0.35</v>
      </c>
      <c r="H32" s="50">
        <f t="shared" si="11"/>
        <v>0.35</v>
      </c>
      <c r="I32" s="50">
        <f t="shared" si="11"/>
        <v>0.35</v>
      </c>
    </row>
    <row r="34" spans="3:9" x14ac:dyDescent="0.25">
      <c r="C34" t="s">
        <v>86</v>
      </c>
      <c r="D34" s="71">
        <v>0.1</v>
      </c>
      <c r="F34" t="s">
        <v>88</v>
      </c>
      <c r="I34" s="64">
        <f>NPV(D34,D28:I28)</f>
        <v>392.15724104166009</v>
      </c>
    </row>
    <row r="35" spans="3:9" x14ac:dyDescent="0.25">
      <c r="C35" t="s">
        <v>85</v>
      </c>
      <c r="D35" s="72">
        <v>8</v>
      </c>
      <c r="F35" t="s">
        <v>89</v>
      </c>
      <c r="I35" s="64">
        <f>((I26+I27)*D35)/(1+D34)^(I24-D24-1)</f>
        <v>1077.4228047734</v>
      </c>
    </row>
    <row r="37" spans="3:9" x14ac:dyDescent="0.25">
      <c r="C37" s="53" t="s">
        <v>46</v>
      </c>
      <c r="D37" s="66">
        <f>SUM(I34:I35)</f>
        <v>1469.5800458150602</v>
      </c>
    </row>
    <row r="38" spans="3:9" x14ac:dyDescent="0.25">
      <c r="C38" t="s">
        <v>45</v>
      </c>
      <c r="D38">
        <f>Sheet1!$L$47+Sheet1!$L$48-Sheet1!$I$46</f>
        <v>260</v>
      </c>
    </row>
    <row r="39" spans="3:9" x14ac:dyDescent="0.25">
      <c r="C39" s="3" t="s">
        <v>47</v>
      </c>
      <c r="D39" s="65">
        <f>D37-D38</f>
        <v>1209.5800458150602</v>
      </c>
    </row>
    <row r="41" spans="3:9" ht="19.5" thickBot="1" x14ac:dyDescent="0.35">
      <c r="C41" s="69" t="s">
        <v>87</v>
      </c>
      <c r="D41" s="70"/>
      <c r="E41" s="70"/>
      <c r="F41" s="70"/>
      <c r="G41" s="70"/>
      <c r="H41" s="70"/>
      <c r="I41" s="70"/>
    </row>
    <row r="42" spans="3:9" ht="15.75" thickTop="1" x14ac:dyDescent="0.25">
      <c r="D42" s="74" t="s">
        <v>90</v>
      </c>
      <c r="E42" s="73"/>
      <c r="F42" s="73"/>
      <c r="G42" s="73"/>
      <c r="H42" s="73"/>
      <c r="I42" s="73"/>
    </row>
    <row r="43" spans="3:9" x14ac:dyDescent="0.25">
      <c r="C43" s="68" t="s">
        <v>15</v>
      </c>
      <c r="D43" s="67">
        <v>2017</v>
      </c>
      <c r="E43" s="67">
        <f>D43+1</f>
        <v>2018</v>
      </c>
      <c r="F43" s="67">
        <f t="shared" ref="F43:I43" si="12">E43+1</f>
        <v>2019</v>
      </c>
      <c r="G43" s="67">
        <f t="shared" si="12"/>
        <v>2020</v>
      </c>
      <c r="H43" s="67">
        <f t="shared" si="12"/>
        <v>2021</v>
      </c>
      <c r="I43" s="67">
        <f t="shared" si="12"/>
        <v>2022</v>
      </c>
    </row>
    <row r="44" spans="3:9" x14ac:dyDescent="0.25">
      <c r="C44" t="s">
        <v>75</v>
      </c>
      <c r="D44" s="64">
        <v>221</v>
      </c>
      <c r="E44" s="64">
        <f>D44*(1+E49)</f>
        <v>223.21</v>
      </c>
      <c r="F44" s="64">
        <f>E44*(1+F49)</f>
        <v>225.44210000000001</v>
      </c>
      <c r="G44" s="64">
        <f>F44*(1+G49)</f>
        <v>227.69652100000002</v>
      </c>
      <c r="H44" s="64">
        <f>G44*(1+H49)</f>
        <v>229.97348621000003</v>
      </c>
      <c r="I44" s="64">
        <f>H44*(1+I49)</f>
        <v>232.27322107210003</v>
      </c>
    </row>
    <row r="45" spans="3:9" x14ac:dyDescent="0.25">
      <c r="C45" t="s">
        <v>80</v>
      </c>
      <c r="D45" s="64">
        <f t="shared" ref="D45:I45" si="13">D44*D50</f>
        <v>9.9450000000000003</v>
      </c>
      <c r="E45" s="64">
        <f t="shared" si="13"/>
        <v>10.044449999999999</v>
      </c>
      <c r="F45" s="64">
        <f t="shared" si="13"/>
        <v>10.144894499999999</v>
      </c>
      <c r="G45" s="64">
        <f t="shared" si="13"/>
        <v>10.246343445000001</v>
      </c>
      <c r="H45" s="64">
        <f t="shared" si="13"/>
        <v>10.348806879450001</v>
      </c>
      <c r="I45" s="64">
        <f t="shared" si="13"/>
        <v>10.452294948244502</v>
      </c>
    </row>
    <row r="46" spans="3:9" x14ac:dyDescent="0.25">
      <c r="C46" t="s">
        <v>84</v>
      </c>
      <c r="D46" s="64">
        <f t="shared" ref="D46:I46" si="14">D44*0.05</f>
        <v>11.05</v>
      </c>
      <c r="E46" s="64">
        <f t="shared" si="14"/>
        <v>11.160500000000001</v>
      </c>
      <c r="F46" s="64">
        <f t="shared" si="14"/>
        <v>11.272105000000002</v>
      </c>
      <c r="G46" s="64">
        <f t="shared" si="14"/>
        <v>11.384826050000001</v>
      </c>
      <c r="H46" s="64">
        <f t="shared" si="14"/>
        <v>11.498674310500002</v>
      </c>
      <c r="I46" s="64">
        <f t="shared" si="14"/>
        <v>11.613661053605002</v>
      </c>
    </row>
    <row r="47" spans="3:9" x14ac:dyDescent="0.25">
      <c r="C47" s="3" t="s">
        <v>81</v>
      </c>
      <c r="D47" s="65">
        <f t="shared" ref="D47:I47" si="15">D45*(1-D51)+D46</f>
        <v>17.514250000000001</v>
      </c>
      <c r="E47" s="65">
        <f t="shared" si="15"/>
        <v>17.6893925</v>
      </c>
      <c r="F47" s="65">
        <f t="shared" si="15"/>
        <v>17.866286425000002</v>
      </c>
      <c r="G47" s="65">
        <f t="shared" si="15"/>
        <v>18.044949289250003</v>
      </c>
      <c r="H47" s="65">
        <f t="shared" si="15"/>
        <v>18.225398782142502</v>
      </c>
      <c r="I47" s="65">
        <f t="shared" si="15"/>
        <v>18.407652769963928</v>
      </c>
    </row>
    <row r="49" spans="3:9" x14ac:dyDescent="0.25">
      <c r="C49" t="s">
        <v>79</v>
      </c>
      <c r="E49" s="71">
        <v>0.01</v>
      </c>
      <c r="F49" s="71">
        <v>0.01</v>
      </c>
      <c r="G49" s="71">
        <v>0.01</v>
      </c>
      <c r="H49" s="71">
        <v>0.01</v>
      </c>
      <c r="I49" s="71">
        <v>0.01</v>
      </c>
    </row>
    <row r="50" spans="3:9" x14ac:dyDescent="0.25">
      <c r="C50" t="s">
        <v>82</v>
      </c>
      <c r="D50" s="71">
        <v>4.4999999999999998E-2</v>
      </c>
      <c r="E50" s="50">
        <f>D50</f>
        <v>4.4999999999999998E-2</v>
      </c>
      <c r="F50" s="50">
        <f t="shared" ref="F50:I50" si="16">E50</f>
        <v>4.4999999999999998E-2</v>
      </c>
      <c r="G50" s="50">
        <f t="shared" si="16"/>
        <v>4.4999999999999998E-2</v>
      </c>
      <c r="H50" s="50">
        <f t="shared" si="16"/>
        <v>4.4999999999999998E-2</v>
      </c>
      <c r="I50" s="50">
        <f t="shared" si="16"/>
        <v>4.4999999999999998E-2</v>
      </c>
    </row>
    <row r="51" spans="3:9" x14ac:dyDescent="0.25">
      <c r="C51" t="s">
        <v>83</v>
      </c>
      <c r="D51" s="71">
        <v>0.35</v>
      </c>
      <c r="E51" s="50">
        <f>D51</f>
        <v>0.35</v>
      </c>
      <c r="F51" s="50">
        <f t="shared" ref="F51:I51" si="17">E51</f>
        <v>0.35</v>
      </c>
      <c r="G51" s="50">
        <f t="shared" si="17"/>
        <v>0.35</v>
      </c>
      <c r="H51" s="50">
        <f t="shared" si="17"/>
        <v>0.35</v>
      </c>
      <c r="I51" s="50">
        <f t="shared" si="17"/>
        <v>0.35</v>
      </c>
    </row>
    <row r="53" spans="3:9" x14ac:dyDescent="0.25">
      <c r="C53" t="s">
        <v>86</v>
      </c>
      <c r="D53" s="71">
        <v>0.2</v>
      </c>
      <c r="F53" t="s">
        <v>88</v>
      </c>
      <c r="I53" s="64">
        <f>NPV(D53,D47:I47)</f>
        <v>59.41009197485819</v>
      </c>
    </row>
    <row r="54" spans="3:9" x14ac:dyDescent="0.25">
      <c r="C54" t="s">
        <v>85</v>
      </c>
      <c r="D54" s="72">
        <v>4</v>
      </c>
      <c r="F54" t="s">
        <v>89</v>
      </c>
      <c r="I54" s="64">
        <f>((I45+I46)*D54)/(1+D53)^(I43-D43-1)</f>
        <v>42.565501546777597</v>
      </c>
    </row>
    <row r="56" spans="3:9" x14ac:dyDescent="0.25">
      <c r="C56" s="53" t="s">
        <v>46</v>
      </c>
      <c r="D56" s="66">
        <f>SUM(I53:I54)</f>
        <v>101.97559352163579</v>
      </c>
    </row>
    <row r="57" spans="3:9" x14ac:dyDescent="0.25">
      <c r="C57" t="s">
        <v>45</v>
      </c>
      <c r="D57">
        <f>Sheet1!L95+Sheet1!L96+Sheet1!L97-Sheet1!I94</f>
        <v>460</v>
      </c>
    </row>
    <row r="58" spans="3:9" x14ac:dyDescent="0.25">
      <c r="C58" s="3" t="s">
        <v>47</v>
      </c>
      <c r="D58" s="65">
        <f>D56-D57</f>
        <v>-358.0244064783642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 Street Prep</dc:creator>
  <cp:lastModifiedBy>Wall Street Prep</cp:lastModifiedBy>
  <dcterms:created xsi:type="dcterms:W3CDTF">2016-11-29T19:29:33Z</dcterms:created>
  <dcterms:modified xsi:type="dcterms:W3CDTF">2016-12-14T15:18:27Z</dcterms:modified>
</cp:coreProperties>
</file>